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8915" windowHeight="8010"/>
  </bookViews>
  <sheets>
    <sheet name="Längenmaße" sheetId="8" r:id="rId1"/>
    <sheet name="Längenmaße_Lösung" sheetId="1" state="hidden" r:id="rId2"/>
    <sheet name="Flächenmaße" sheetId="9" state="hidden" r:id="rId3"/>
    <sheet name="Flächenmaße_Lösung" sheetId="10" state="hidden" r:id="rId4"/>
    <sheet name="Raummaße" sheetId="12" state="hidden" r:id="rId5"/>
    <sheet name="Raummaße_Lösung" sheetId="11" state="hidden" r:id="rId6"/>
    <sheet name="Zeit" sheetId="4" state="hidden" r:id="rId7"/>
    <sheet name="Zeit_Lösung" sheetId="13" state="hidden" r:id="rId8"/>
    <sheet name="Gewicht" sheetId="16" state="hidden" r:id="rId9"/>
    <sheet name="Gewicht_Lösung" sheetId="15" state="hidden" r:id="rId10"/>
    <sheet name="Euro" sheetId="17" state="hidden" r:id="rId11"/>
    <sheet name="Euro_Lösung" sheetId="6" state="hidden" r:id="rId12"/>
  </sheets>
  <calcPr calcId="145621"/>
</workbook>
</file>

<file path=xl/calcChain.xml><?xml version="1.0" encoding="utf-8"?>
<calcChain xmlns="http://schemas.openxmlformats.org/spreadsheetml/2006/main">
  <c r="G38" i="17" l="1"/>
  <c r="B38" i="17"/>
  <c r="G37" i="17"/>
  <c r="B37" i="17"/>
  <c r="J36" i="17"/>
  <c r="D36" i="17"/>
  <c r="G35" i="17"/>
  <c r="D35" i="17"/>
  <c r="P38" i="6"/>
  <c r="G38" i="6"/>
  <c r="B38" i="6"/>
  <c r="N38" i="6" s="1"/>
  <c r="P37" i="6"/>
  <c r="G37" i="6"/>
  <c r="B37" i="6"/>
  <c r="N37" i="6" s="1"/>
  <c r="N36" i="6"/>
  <c r="K36" i="6"/>
  <c r="D36" i="6"/>
  <c r="P36" i="6" s="1"/>
  <c r="G35" i="6"/>
  <c r="N35" i="6" s="1"/>
  <c r="D35" i="6"/>
  <c r="P35" i="6" s="1"/>
  <c r="M29" i="17"/>
  <c r="B29" i="17"/>
  <c r="I29" i="17" s="1"/>
  <c r="H29" i="17" s="1"/>
  <c r="M28" i="17"/>
  <c r="B28" i="17"/>
  <c r="I28" i="17" s="1"/>
  <c r="H28" i="17" s="1"/>
  <c r="M27" i="17"/>
  <c r="B27" i="17"/>
  <c r="I27" i="17" s="1"/>
  <c r="H27" i="17" s="1"/>
  <c r="M26" i="17"/>
  <c r="B26" i="17"/>
  <c r="I26" i="17" s="1"/>
  <c r="H26" i="17" s="1"/>
  <c r="O23" i="17"/>
  <c r="U23" i="17" s="1"/>
  <c r="T23" i="17" s="1"/>
  <c r="B23" i="17"/>
  <c r="I23" i="17" s="1"/>
  <c r="H23" i="17" s="1"/>
  <c r="M22" i="17"/>
  <c r="U22" i="17" s="1"/>
  <c r="T22" i="17" s="1"/>
  <c r="B22" i="17"/>
  <c r="I22" i="17" s="1"/>
  <c r="H22" i="17" s="1"/>
  <c r="M21" i="17"/>
  <c r="U21" i="17" s="1"/>
  <c r="T21" i="17" s="1"/>
  <c r="B21" i="17"/>
  <c r="I21" i="17" s="1"/>
  <c r="H21" i="17" s="1"/>
  <c r="O20" i="17"/>
  <c r="U20" i="17" s="1"/>
  <c r="T20" i="17" s="1"/>
  <c r="B20" i="17"/>
  <c r="I20" i="17" s="1"/>
  <c r="H20" i="17" s="1"/>
  <c r="L29" i="6"/>
  <c r="L28" i="6"/>
  <c r="L27" i="6"/>
  <c r="O27" i="6"/>
  <c r="Q27" i="6" s="1"/>
  <c r="O28" i="6"/>
  <c r="Q28" i="6"/>
  <c r="L26" i="6"/>
  <c r="N23" i="6"/>
  <c r="T23" i="6" s="1"/>
  <c r="Q23" i="6" s="1"/>
  <c r="S23" i="6" s="1"/>
  <c r="L22" i="6"/>
  <c r="T22" i="6" s="1"/>
  <c r="Q22" i="6" s="1"/>
  <c r="S22" i="6" s="1"/>
  <c r="L21" i="6"/>
  <c r="T21" i="6" s="1"/>
  <c r="Q21" i="6" s="1"/>
  <c r="S21" i="6" s="1"/>
  <c r="N20" i="6"/>
  <c r="T20" i="6" s="1"/>
  <c r="Q20" i="6" s="1"/>
  <c r="S20" i="6" s="1"/>
  <c r="B29" i="6"/>
  <c r="I29" i="6" s="1"/>
  <c r="E29" i="6" s="1"/>
  <c r="H29" i="6" s="1"/>
  <c r="B28" i="6"/>
  <c r="I28" i="6" s="1"/>
  <c r="E28" i="6" s="1"/>
  <c r="H28" i="6" s="1"/>
  <c r="B27" i="6"/>
  <c r="I27" i="6" s="1"/>
  <c r="E27" i="6" s="1"/>
  <c r="H27" i="6" s="1"/>
  <c r="B26" i="6"/>
  <c r="I26" i="6" s="1"/>
  <c r="E26" i="6" s="1"/>
  <c r="H26" i="6" s="1"/>
  <c r="B23" i="6"/>
  <c r="B22" i="6"/>
  <c r="I23" i="6"/>
  <c r="E23" i="6" s="1"/>
  <c r="H23" i="6" s="1"/>
  <c r="I22" i="6"/>
  <c r="E22" i="6" s="1"/>
  <c r="H22" i="6" s="1"/>
  <c r="B21" i="6"/>
  <c r="I21" i="6" s="1"/>
  <c r="E21" i="6" s="1"/>
  <c r="H21" i="6" s="1"/>
  <c r="B20" i="6"/>
  <c r="I20" i="6" s="1"/>
  <c r="E20" i="6" s="1"/>
  <c r="H20" i="6" s="1"/>
  <c r="B34" i="16"/>
  <c r="H34" i="16" s="1"/>
  <c r="M33" i="16"/>
  <c r="B33" i="16"/>
  <c r="H33" i="16" s="1"/>
  <c r="M32" i="16"/>
  <c r="B32" i="16"/>
  <c r="H32" i="16" s="1"/>
  <c r="M31" i="16"/>
  <c r="B31" i="16"/>
  <c r="H31" i="16" s="1"/>
  <c r="M30" i="16"/>
  <c r="B30" i="16"/>
  <c r="H30" i="16" s="1"/>
  <c r="M29" i="16"/>
  <c r="B29" i="16"/>
  <c r="H29" i="16" s="1"/>
  <c r="M28" i="16"/>
  <c r="N25" i="16"/>
  <c r="AI25" i="16" s="1"/>
  <c r="AJ25" i="16" s="1"/>
  <c r="B25" i="16"/>
  <c r="H25" i="16" s="1"/>
  <c r="P24" i="16"/>
  <c r="AI24" i="16" s="1"/>
  <c r="AJ24" i="16" s="1"/>
  <c r="B24" i="16"/>
  <c r="H24" i="16" s="1"/>
  <c r="W23" i="16"/>
  <c r="AI23" i="16" s="1"/>
  <c r="AJ23" i="16" s="1"/>
  <c r="B23" i="16"/>
  <c r="H23" i="16" s="1"/>
  <c r="W22" i="16"/>
  <c r="AI22" i="16" s="1"/>
  <c r="AJ22" i="16" s="1"/>
  <c r="H22" i="16"/>
  <c r="B22" i="16"/>
  <c r="I22" i="16" s="1"/>
  <c r="P21" i="16"/>
  <c r="N21" i="16"/>
  <c r="AI21" i="16" s="1"/>
  <c r="AJ21" i="16" s="1"/>
  <c r="B21" i="16"/>
  <c r="H21" i="16" s="1"/>
  <c r="S20" i="16"/>
  <c r="P20" i="16"/>
  <c r="AI20" i="16" s="1"/>
  <c r="AJ20" i="16" s="1"/>
  <c r="B20" i="16"/>
  <c r="H20" i="16" s="1"/>
  <c r="AB32" i="15"/>
  <c r="M33" i="15"/>
  <c r="Q33" i="15"/>
  <c r="X32" i="15"/>
  <c r="T32" i="15"/>
  <c r="AB31" i="15"/>
  <c r="X31" i="15"/>
  <c r="T31" i="15"/>
  <c r="T30" i="15"/>
  <c r="Q30" i="15"/>
  <c r="M30" i="15"/>
  <c r="AB29" i="15"/>
  <c r="X29" i="15"/>
  <c r="T29" i="15"/>
  <c r="M29" i="15"/>
  <c r="X28" i="15"/>
  <c r="T28" i="15"/>
  <c r="Q28" i="15"/>
  <c r="M28" i="15"/>
  <c r="AB25" i="15"/>
  <c r="AI25" i="15"/>
  <c r="AB24" i="15"/>
  <c r="AI24" i="15"/>
  <c r="AB23" i="15"/>
  <c r="AI23" i="15"/>
  <c r="W23" i="15"/>
  <c r="AB22" i="15"/>
  <c r="AI22" i="15"/>
  <c r="AB21" i="15"/>
  <c r="P21" i="15"/>
  <c r="P20" i="15"/>
  <c r="AI21" i="15"/>
  <c r="AI20" i="15"/>
  <c r="AB20" i="15" s="1"/>
  <c r="B34" i="15"/>
  <c r="E34" i="15" s="1"/>
  <c r="B33" i="15"/>
  <c r="E33" i="15" s="1"/>
  <c r="B32" i="15"/>
  <c r="E32" i="15" s="1"/>
  <c r="B30" i="15"/>
  <c r="E30" i="15" s="1"/>
  <c r="B25" i="15"/>
  <c r="E25" i="15" s="1"/>
  <c r="B24" i="15"/>
  <c r="E24" i="15"/>
  <c r="H24" i="15"/>
  <c r="H22" i="15"/>
  <c r="B22" i="15"/>
  <c r="E22" i="15" s="1"/>
  <c r="O26" i="6" l="1"/>
  <c r="Q26" i="6" s="1"/>
  <c r="O29" i="6"/>
  <c r="Q29" i="6" s="1"/>
  <c r="I20" i="16"/>
  <c r="I21" i="16"/>
  <c r="I23" i="16"/>
  <c r="I24" i="16"/>
  <c r="I25" i="16"/>
  <c r="R28" i="16"/>
  <c r="Y28" i="16" s="1"/>
  <c r="Z28" i="16" s="1"/>
  <c r="U28" i="16"/>
  <c r="V28" i="16" s="1"/>
  <c r="I29" i="16"/>
  <c r="R29" i="16"/>
  <c r="U29" i="16"/>
  <c r="V29" i="16" s="1"/>
  <c r="AC29" i="16"/>
  <c r="AD29" i="16" s="1"/>
  <c r="Y29" i="16"/>
  <c r="Z29" i="16" s="1"/>
  <c r="I30" i="16"/>
  <c r="U30" i="16"/>
  <c r="V30" i="16" s="1"/>
  <c r="Y30" i="16"/>
  <c r="Z30" i="16" s="1"/>
  <c r="I31" i="16"/>
  <c r="U31" i="16"/>
  <c r="V31" i="16" s="1"/>
  <c r="AC31" i="16" s="1"/>
  <c r="AD31" i="16" s="1"/>
  <c r="Y31" i="16"/>
  <c r="Z31" i="16" s="1"/>
  <c r="I32" i="16"/>
  <c r="U32" i="16"/>
  <c r="V32" i="16" s="1"/>
  <c r="AC32" i="16" s="1"/>
  <c r="AD32" i="16" s="1"/>
  <c r="Y32" i="16"/>
  <c r="Z32" i="16" s="1"/>
  <c r="I33" i="16"/>
  <c r="U33" i="16"/>
  <c r="V33" i="16" s="1"/>
  <c r="AC33" i="16" s="1"/>
  <c r="AD33" i="16" s="1"/>
  <c r="Y33" i="16"/>
  <c r="Z33" i="16" s="1"/>
  <c r="I34" i="16"/>
  <c r="T33" i="15"/>
  <c r="X33" i="15" s="1"/>
  <c r="H25" i="15"/>
  <c r="H30" i="15"/>
  <c r="H32" i="15"/>
  <c r="H33" i="15"/>
  <c r="H34" i="15"/>
  <c r="B20" i="15"/>
  <c r="E20" i="15" s="1"/>
  <c r="H20" i="15"/>
  <c r="I34" i="15"/>
  <c r="M32" i="15"/>
  <c r="I33" i="15"/>
  <c r="M31" i="15"/>
  <c r="I32" i="15"/>
  <c r="B31" i="15"/>
  <c r="AC29" i="15"/>
  <c r="AD29" i="15" s="1"/>
  <c r="I30" i="15"/>
  <c r="B29" i="15"/>
  <c r="AJ25" i="15"/>
  <c r="N25" i="15"/>
  <c r="I25" i="15"/>
  <c r="AJ24" i="15"/>
  <c r="P24" i="15"/>
  <c r="I24" i="15"/>
  <c r="AJ23" i="15"/>
  <c r="B23" i="15"/>
  <c r="AJ22" i="15"/>
  <c r="W22" i="15"/>
  <c r="I22" i="15"/>
  <c r="AJ21" i="15"/>
  <c r="N21" i="15"/>
  <c r="B21" i="15"/>
  <c r="AJ20" i="15"/>
  <c r="S20" i="15"/>
  <c r="U10" i="13"/>
  <c r="U9" i="13"/>
  <c r="R9" i="13"/>
  <c r="U8" i="13"/>
  <c r="R8" i="13"/>
  <c r="O8" i="13"/>
  <c r="U7" i="13"/>
  <c r="R7" i="13"/>
  <c r="O7" i="13"/>
  <c r="L7" i="13"/>
  <c r="U6" i="13"/>
  <c r="R6" i="13"/>
  <c r="O6" i="13"/>
  <c r="R32" i="13"/>
  <c r="P32" i="13"/>
  <c r="R31" i="13"/>
  <c r="P31" i="13"/>
  <c r="R30" i="13"/>
  <c r="P30" i="13"/>
  <c r="R29" i="13"/>
  <c r="P29" i="13"/>
  <c r="R28" i="13"/>
  <c r="P28" i="13"/>
  <c r="R27" i="13"/>
  <c r="P27" i="13"/>
  <c r="R24" i="13"/>
  <c r="R23" i="13"/>
  <c r="R22" i="13"/>
  <c r="R21" i="13"/>
  <c r="R20" i="13"/>
  <c r="R19" i="13"/>
  <c r="E32" i="13"/>
  <c r="E31" i="13"/>
  <c r="E30" i="13"/>
  <c r="E28" i="13"/>
  <c r="E29" i="13"/>
  <c r="E27" i="13"/>
  <c r="E24" i="13"/>
  <c r="E23" i="13"/>
  <c r="E22" i="13"/>
  <c r="E21" i="13"/>
  <c r="E20" i="13"/>
  <c r="E19" i="13"/>
  <c r="M32" i="13"/>
  <c r="B32" i="13"/>
  <c r="I32" i="13" s="1"/>
  <c r="M31" i="13"/>
  <c r="B31" i="13"/>
  <c r="I31" i="13" s="1"/>
  <c r="M30" i="13"/>
  <c r="B30" i="13"/>
  <c r="I30" i="13" s="1"/>
  <c r="M29" i="13"/>
  <c r="B29" i="13"/>
  <c r="I29" i="13" s="1"/>
  <c r="M28" i="13"/>
  <c r="B28" i="13"/>
  <c r="I28" i="13" s="1"/>
  <c r="M27" i="13"/>
  <c r="B27" i="13"/>
  <c r="I27" i="13" s="1"/>
  <c r="O24" i="13"/>
  <c r="B24" i="13"/>
  <c r="I24" i="13" s="1"/>
  <c r="M23" i="13"/>
  <c r="B23" i="13"/>
  <c r="I23" i="13" s="1"/>
  <c r="O22" i="13"/>
  <c r="B22" i="13"/>
  <c r="I22" i="13" s="1"/>
  <c r="O21" i="13"/>
  <c r="B21" i="13"/>
  <c r="I21" i="13" s="1"/>
  <c r="O20" i="13"/>
  <c r="B20" i="13"/>
  <c r="I20" i="13" s="1"/>
  <c r="M19" i="13"/>
  <c r="B19" i="13"/>
  <c r="I19" i="13" s="1"/>
  <c r="M32" i="4"/>
  <c r="M31" i="4"/>
  <c r="M30" i="4"/>
  <c r="M29" i="4"/>
  <c r="M28" i="4"/>
  <c r="M27" i="4"/>
  <c r="V24" i="4"/>
  <c r="V23" i="4"/>
  <c r="V22" i="4"/>
  <c r="V21" i="4"/>
  <c r="V20" i="4"/>
  <c r="V19" i="4"/>
  <c r="U24" i="4"/>
  <c r="U23" i="4"/>
  <c r="U22" i="4"/>
  <c r="U21" i="4"/>
  <c r="U20" i="4"/>
  <c r="U19" i="4"/>
  <c r="O24" i="4"/>
  <c r="M23" i="4"/>
  <c r="O22" i="4"/>
  <c r="O21" i="4"/>
  <c r="O20" i="4"/>
  <c r="M19" i="4"/>
  <c r="H20" i="4"/>
  <c r="H21" i="4"/>
  <c r="H22" i="4"/>
  <c r="H23" i="4"/>
  <c r="H24" i="4"/>
  <c r="H27" i="4"/>
  <c r="H28" i="4"/>
  <c r="H29" i="4"/>
  <c r="H30" i="4"/>
  <c r="H31" i="4"/>
  <c r="H32" i="4"/>
  <c r="H19" i="4"/>
  <c r="B32" i="4"/>
  <c r="I32" i="4" s="1"/>
  <c r="B31" i="4"/>
  <c r="I31" i="4" s="1"/>
  <c r="B30" i="4"/>
  <c r="I30" i="4" s="1"/>
  <c r="B29" i="4"/>
  <c r="I29" i="4" s="1"/>
  <c r="B28" i="4"/>
  <c r="I28" i="4" s="1"/>
  <c r="B27" i="4"/>
  <c r="I27" i="4" s="1"/>
  <c r="B24" i="4"/>
  <c r="I24" i="4" s="1"/>
  <c r="B23" i="4"/>
  <c r="I23" i="4" s="1"/>
  <c r="B22" i="4"/>
  <c r="I22" i="4" s="1"/>
  <c r="B21" i="4"/>
  <c r="I21" i="4" s="1"/>
  <c r="B19" i="4"/>
  <c r="I19" i="4" s="1"/>
  <c r="B20" i="4"/>
  <c r="I20" i="4" s="1"/>
  <c r="O27" i="10"/>
  <c r="M33" i="12"/>
  <c r="M32" i="12"/>
  <c r="M31" i="12"/>
  <c r="M30" i="12"/>
  <c r="I30" i="12"/>
  <c r="B30" i="12"/>
  <c r="H30" i="12" s="1"/>
  <c r="M29" i="12"/>
  <c r="I29" i="12"/>
  <c r="B29" i="12"/>
  <c r="H29" i="12" s="1"/>
  <c r="M28" i="12"/>
  <c r="I28" i="12"/>
  <c r="B28" i="12"/>
  <c r="H28" i="12" s="1"/>
  <c r="M27" i="12"/>
  <c r="I27" i="12"/>
  <c r="B27" i="12"/>
  <c r="H27" i="12" s="1"/>
  <c r="M26" i="12"/>
  <c r="I26" i="12"/>
  <c r="B26" i="12"/>
  <c r="H26" i="12" s="1"/>
  <c r="I25" i="12"/>
  <c r="B25" i="12"/>
  <c r="H25" i="12" s="1"/>
  <c r="X23" i="12"/>
  <c r="Q23" i="12"/>
  <c r="Y23" i="12" s="1"/>
  <c r="X22" i="12"/>
  <c r="M22" i="12"/>
  <c r="Y22" i="12" s="1"/>
  <c r="X21" i="12"/>
  <c r="Q21" i="12"/>
  <c r="Y21" i="12" s="1"/>
  <c r="I21" i="12"/>
  <c r="B21" i="12"/>
  <c r="H21" i="12" s="1"/>
  <c r="Y20" i="12"/>
  <c r="X20" i="12"/>
  <c r="I20" i="12"/>
  <c r="B20" i="12"/>
  <c r="H20" i="12" s="1"/>
  <c r="X19" i="12"/>
  <c r="S19" i="12"/>
  <c r="Y19" i="12" s="1"/>
  <c r="I19" i="12"/>
  <c r="B19" i="12"/>
  <c r="H19" i="12" s="1"/>
  <c r="X18" i="12"/>
  <c r="Q18" i="12"/>
  <c r="Y18" i="12" s="1"/>
  <c r="I18" i="12"/>
  <c r="B18" i="12"/>
  <c r="H18" i="12" s="1"/>
  <c r="X17" i="12"/>
  <c r="Q17" i="12"/>
  <c r="Y17" i="12" s="1"/>
  <c r="I17" i="12"/>
  <c r="B17" i="12"/>
  <c r="H17" i="12" s="1"/>
  <c r="X16" i="12"/>
  <c r="O16" i="12"/>
  <c r="Y16" i="12" s="1"/>
  <c r="I16" i="12"/>
  <c r="B16" i="12"/>
  <c r="H16" i="12" s="1"/>
  <c r="K32" i="11"/>
  <c r="AC30" i="16" l="1"/>
  <c r="AD30" i="16" s="1"/>
  <c r="I20" i="15"/>
  <c r="E21" i="15"/>
  <c r="H21" i="15"/>
  <c r="E23" i="15"/>
  <c r="H23" i="15"/>
  <c r="H29" i="15"/>
  <c r="E29" i="15"/>
  <c r="I29" i="15" s="1"/>
  <c r="H31" i="15"/>
  <c r="E31" i="15"/>
  <c r="I31" i="15" s="1"/>
  <c r="R28" i="15"/>
  <c r="U28" i="15"/>
  <c r="V28" i="15" s="1"/>
  <c r="R29" i="15"/>
  <c r="U29" i="15"/>
  <c r="V29" i="15" s="1"/>
  <c r="Y29" i="15"/>
  <c r="Z29" i="15" s="1"/>
  <c r="U30" i="15"/>
  <c r="V30" i="15" s="1"/>
  <c r="Y30" i="15"/>
  <c r="Z30" i="15" s="1"/>
  <c r="U31" i="15"/>
  <c r="V31" i="15" s="1"/>
  <c r="Y31" i="15"/>
  <c r="Z31" i="15" s="1"/>
  <c r="AC31" i="15"/>
  <c r="AD31" i="15" s="1"/>
  <c r="U32" i="15"/>
  <c r="V32" i="15" s="1"/>
  <c r="Y32" i="15"/>
  <c r="Z32" i="15" s="1"/>
  <c r="AC32" i="15"/>
  <c r="AD32" i="15" s="1"/>
  <c r="U33" i="15"/>
  <c r="V33" i="15" s="1"/>
  <c r="Y33" i="15"/>
  <c r="Z33" i="15" s="1"/>
  <c r="S32" i="11"/>
  <c r="U32" i="11" s="1"/>
  <c r="T20" i="11"/>
  <c r="B30" i="11"/>
  <c r="E30" i="11" s="1"/>
  <c r="B29" i="11"/>
  <c r="E29" i="11" s="1"/>
  <c r="B25" i="11"/>
  <c r="E25" i="11" s="1"/>
  <c r="B28" i="11"/>
  <c r="E28" i="11" s="1"/>
  <c r="I23" i="15" l="1"/>
  <c r="I21" i="15"/>
  <c r="AC33" i="15"/>
  <c r="AD33" i="15" s="1"/>
  <c r="AC30" i="15"/>
  <c r="AD30" i="15" s="1"/>
  <c r="Y28" i="15"/>
  <c r="Z28" i="15" s="1"/>
  <c r="X17" i="9"/>
  <c r="X18" i="9"/>
  <c r="X19" i="9"/>
  <c r="X20" i="9"/>
  <c r="X21" i="9"/>
  <c r="X22" i="9"/>
  <c r="X23" i="9"/>
  <c r="X16" i="9"/>
  <c r="K33" i="11"/>
  <c r="K31" i="11"/>
  <c r="K30" i="11"/>
  <c r="K29" i="11"/>
  <c r="K28" i="11"/>
  <c r="B27" i="11"/>
  <c r="E27" i="11" s="1"/>
  <c r="K27" i="11"/>
  <c r="B26" i="11"/>
  <c r="E26" i="11" s="1"/>
  <c r="K26" i="11"/>
  <c r="O23" i="11"/>
  <c r="T23" i="11" s="1"/>
  <c r="K22" i="11"/>
  <c r="T22" i="11" s="1"/>
  <c r="O21" i="11"/>
  <c r="T21" i="11" s="1"/>
  <c r="B21" i="11"/>
  <c r="E21" i="11" s="1"/>
  <c r="B20" i="11"/>
  <c r="E20" i="11" s="1"/>
  <c r="Q19" i="11"/>
  <c r="T19" i="11" s="1"/>
  <c r="B19" i="11"/>
  <c r="E19" i="11" s="1"/>
  <c r="O18" i="11"/>
  <c r="T18" i="11" s="1"/>
  <c r="B18" i="11"/>
  <c r="E18" i="11" s="1"/>
  <c r="O17" i="11"/>
  <c r="T17" i="11" s="1"/>
  <c r="B17" i="11"/>
  <c r="E17" i="11" s="1"/>
  <c r="M16" i="11"/>
  <c r="T16" i="11" s="1"/>
  <c r="B16" i="11"/>
  <c r="E16" i="11" s="1"/>
  <c r="T21" i="10"/>
  <c r="R34" i="10"/>
  <c r="O34" i="10"/>
  <c r="K34" i="10"/>
  <c r="R33" i="10"/>
  <c r="O33" i="10"/>
  <c r="K33" i="10"/>
  <c r="X32" i="10"/>
  <c r="K32" i="10"/>
  <c r="B32" i="10"/>
  <c r="E32" i="10" s="1"/>
  <c r="R31" i="10"/>
  <c r="O31" i="10"/>
  <c r="K31" i="10"/>
  <c r="B31" i="10"/>
  <c r="E31" i="10" s="1"/>
  <c r="K30" i="10"/>
  <c r="B30" i="10"/>
  <c r="E30" i="10" s="1"/>
  <c r="X29" i="10"/>
  <c r="O29" i="10"/>
  <c r="K29" i="10"/>
  <c r="B29" i="10"/>
  <c r="E29" i="10" s="1"/>
  <c r="X28" i="10"/>
  <c r="U28" i="10"/>
  <c r="K28" i="10"/>
  <c r="B28" i="10"/>
  <c r="E28" i="10" s="1"/>
  <c r="K27" i="10"/>
  <c r="B27" i="10"/>
  <c r="E27" i="10" s="1"/>
  <c r="O24" i="10"/>
  <c r="T24" i="10" s="1"/>
  <c r="K23" i="10"/>
  <c r="T23" i="10" s="1"/>
  <c r="B23" i="10"/>
  <c r="E23" i="10" s="1"/>
  <c r="O22" i="10"/>
  <c r="T22" i="10" s="1"/>
  <c r="B22" i="10"/>
  <c r="E22" i="10" s="1"/>
  <c r="B21" i="10"/>
  <c r="E21" i="10" s="1"/>
  <c r="Q20" i="10"/>
  <c r="T20" i="10" s="1"/>
  <c r="B20" i="10"/>
  <c r="E20" i="10" s="1"/>
  <c r="O19" i="10"/>
  <c r="T19" i="10" s="1"/>
  <c r="B19" i="10"/>
  <c r="E19" i="10" s="1"/>
  <c r="O18" i="10"/>
  <c r="T18" i="10" s="1"/>
  <c r="B18" i="10"/>
  <c r="E18" i="10" s="1"/>
  <c r="M17" i="10"/>
  <c r="T17" i="10" s="1"/>
  <c r="B17" i="10"/>
  <c r="E17" i="10" s="1"/>
  <c r="Q23" i="9"/>
  <c r="M22" i="9"/>
  <c r="Q21" i="9"/>
  <c r="Q17" i="9"/>
  <c r="B30" i="9"/>
  <c r="H30" i="9"/>
  <c r="B29" i="9"/>
  <c r="H29" i="9"/>
  <c r="B26" i="9"/>
  <c r="H26" i="9"/>
  <c r="B22" i="9"/>
  <c r="H22" i="9"/>
  <c r="B21" i="9"/>
  <c r="H21" i="9" s="1"/>
  <c r="B20" i="9"/>
  <c r="H20" i="9"/>
  <c r="B19" i="9"/>
  <c r="H19" i="9" s="1"/>
  <c r="B17" i="9"/>
  <c r="H17" i="9"/>
  <c r="B16" i="9"/>
  <c r="H16" i="9" s="1"/>
  <c r="M33" i="9"/>
  <c r="M32" i="9"/>
  <c r="M31" i="9"/>
  <c r="I31" i="9"/>
  <c r="B31" i="9"/>
  <c r="H31" i="9" s="1"/>
  <c r="M30" i="9"/>
  <c r="I30" i="9"/>
  <c r="M29" i="9"/>
  <c r="I29" i="9"/>
  <c r="M28" i="9"/>
  <c r="I28" i="9"/>
  <c r="B28" i="9"/>
  <c r="H28" i="9" s="1"/>
  <c r="M27" i="9"/>
  <c r="I27" i="9"/>
  <c r="B27" i="9"/>
  <c r="H27" i="9" s="1"/>
  <c r="M26" i="9"/>
  <c r="I26" i="9"/>
  <c r="I22" i="9"/>
  <c r="I21" i="9"/>
  <c r="I20" i="9"/>
  <c r="S19" i="9"/>
  <c r="I19" i="9"/>
  <c r="Q18" i="9"/>
  <c r="I18" i="9"/>
  <c r="B18" i="9"/>
  <c r="H18" i="9" s="1"/>
  <c r="I17" i="9"/>
  <c r="O16" i="9"/>
  <c r="I16" i="9"/>
  <c r="AK21" i="8"/>
  <c r="AK22" i="8"/>
  <c r="AK23" i="8"/>
  <c r="AK24" i="8"/>
  <c r="AK25" i="8"/>
  <c r="AK26" i="8"/>
  <c r="AK27" i="8"/>
  <c r="AK20" i="8"/>
  <c r="I30" i="8"/>
  <c r="I31" i="8"/>
  <c r="I32" i="8"/>
  <c r="I33" i="8"/>
  <c r="I34" i="8"/>
  <c r="I35" i="8"/>
  <c r="I36" i="8"/>
  <c r="I37" i="8"/>
  <c r="I21" i="8"/>
  <c r="I22" i="8"/>
  <c r="I23" i="8"/>
  <c r="I24" i="8"/>
  <c r="I25" i="8"/>
  <c r="I26" i="8"/>
  <c r="I27" i="8"/>
  <c r="I20" i="8"/>
  <c r="M37" i="8"/>
  <c r="B37" i="8"/>
  <c r="H37" i="8" s="1"/>
  <c r="M36" i="8"/>
  <c r="B36" i="8"/>
  <c r="H36" i="8" s="1"/>
  <c r="M35" i="8"/>
  <c r="B35" i="8"/>
  <c r="H35" i="8" s="1"/>
  <c r="M34" i="8"/>
  <c r="B34" i="8"/>
  <c r="H34" i="8" s="1"/>
  <c r="M33" i="8"/>
  <c r="B33" i="8"/>
  <c r="H33" i="8" s="1"/>
  <c r="M32" i="8"/>
  <c r="B32" i="8"/>
  <c r="H32" i="8" s="1"/>
  <c r="M31" i="8"/>
  <c r="B31" i="8"/>
  <c r="H31" i="8" s="1"/>
  <c r="M30" i="8"/>
  <c r="B30" i="8"/>
  <c r="H30" i="8" s="1"/>
  <c r="W27" i="8"/>
  <c r="AJ27" i="8" s="1"/>
  <c r="B27" i="8"/>
  <c r="H27" i="8" s="1"/>
  <c r="P26" i="8"/>
  <c r="AJ26" i="8" s="1"/>
  <c r="B26" i="8"/>
  <c r="H26" i="8" s="1"/>
  <c r="N25" i="8"/>
  <c r="AJ25" i="8" s="1"/>
  <c r="B25" i="8"/>
  <c r="H25" i="8" s="1"/>
  <c r="P24" i="8"/>
  <c r="AJ24" i="8" s="1"/>
  <c r="B24" i="8"/>
  <c r="H24" i="8" s="1"/>
  <c r="AA23" i="8"/>
  <c r="AJ23" i="8" s="1"/>
  <c r="B23" i="8"/>
  <c r="H23" i="8" s="1"/>
  <c r="W22" i="8"/>
  <c r="AJ22" i="8" s="1"/>
  <c r="B22" i="8"/>
  <c r="H22" i="8" s="1"/>
  <c r="N21" i="8"/>
  <c r="AJ21" i="8" s="1"/>
  <c r="B21" i="8"/>
  <c r="H21" i="8" s="1"/>
  <c r="S20" i="8"/>
  <c r="AJ20" i="8" s="1"/>
  <c r="B20" i="8"/>
  <c r="H20" i="8" s="1"/>
  <c r="M37" i="1"/>
  <c r="M36" i="1"/>
  <c r="M35" i="1"/>
  <c r="M34" i="1"/>
  <c r="M33" i="1"/>
  <c r="M32" i="1"/>
  <c r="M31" i="1"/>
  <c r="R31" i="1" s="1"/>
  <c r="Q31" i="1" s="1"/>
  <c r="M30" i="1"/>
  <c r="R30" i="1"/>
  <c r="U30" i="1" s="1"/>
  <c r="Q30" i="1"/>
  <c r="Q26" i="11" l="1"/>
  <c r="O27" i="11"/>
  <c r="Q27" i="11" s="1"/>
  <c r="Q28" i="11"/>
  <c r="S28" i="11" s="1"/>
  <c r="Q29" i="11"/>
  <c r="S30" i="11"/>
  <c r="U30" i="11" s="1"/>
  <c r="O31" i="11"/>
  <c r="Q31" i="11" s="1"/>
  <c r="S33" i="11"/>
  <c r="U33" i="11" s="1"/>
  <c r="Y30" i="1"/>
  <c r="Z30" i="1" s="1"/>
  <c r="X30" i="1" s="1"/>
  <c r="U31" i="1"/>
  <c r="V31" i="1" s="1"/>
  <c r="T31" i="1" s="1"/>
  <c r="Y31" i="1"/>
  <c r="Z31" i="1" s="1"/>
  <c r="X31" i="1" s="1"/>
  <c r="AC31" i="1" s="1"/>
  <c r="AD31" i="1" s="1"/>
  <c r="AB31" i="1" s="1"/>
  <c r="U32" i="1"/>
  <c r="V32" i="1" s="1"/>
  <c r="T32" i="1" s="1"/>
  <c r="Y32" i="1"/>
  <c r="Z32" i="1" s="1"/>
  <c r="X32" i="1" s="1"/>
  <c r="U33" i="1"/>
  <c r="V33" i="1" s="1"/>
  <c r="T33" i="1" s="1"/>
  <c r="Y33" i="1"/>
  <c r="Z33" i="1" s="1"/>
  <c r="X33" i="1" s="1"/>
  <c r="AC33" i="1"/>
  <c r="AD33" i="1" s="1"/>
  <c r="AB33" i="1" s="1"/>
  <c r="U34" i="1"/>
  <c r="V34" i="1" s="1"/>
  <c r="T34" i="1" s="1"/>
  <c r="Y34" i="1"/>
  <c r="Z34" i="1" s="1"/>
  <c r="X34" i="1" s="1"/>
  <c r="AC34" i="1"/>
  <c r="AD34" i="1" s="1"/>
  <c r="AB34" i="1" s="1"/>
  <c r="U35" i="1"/>
  <c r="V35" i="1" s="1"/>
  <c r="T35" i="1" s="1"/>
  <c r="Y35" i="1"/>
  <c r="Z35" i="1" s="1"/>
  <c r="X35" i="1" s="1"/>
  <c r="R36" i="1"/>
  <c r="Q36" i="1" s="1"/>
  <c r="Y37" i="1"/>
  <c r="Z37" i="1" s="1"/>
  <c r="X37" i="1" s="1"/>
  <c r="AC37" i="1"/>
  <c r="AD37" i="1" s="1"/>
  <c r="AB37" i="1" s="1"/>
  <c r="T27" i="10"/>
  <c r="R27" i="10" s="1"/>
  <c r="W27" i="10"/>
  <c r="U27" i="10" s="1"/>
  <c r="Q28" i="10"/>
  <c r="O28" i="10" s="1"/>
  <c r="T29" i="10"/>
  <c r="R29" i="10" s="1"/>
  <c r="W29" i="10" s="1"/>
  <c r="U29" i="10" s="1"/>
  <c r="T30" i="10"/>
  <c r="R30" i="10" s="1"/>
  <c r="W30" i="10"/>
  <c r="U30" i="10" s="1"/>
  <c r="W31" i="10"/>
  <c r="U31" i="10" s="1"/>
  <c r="Z31" i="10" s="1"/>
  <c r="X31" i="10" s="1"/>
  <c r="Q32" i="10"/>
  <c r="O32" i="10" s="1"/>
  <c r="W33" i="10"/>
  <c r="U33" i="10" s="1"/>
  <c r="W34" i="10"/>
  <c r="U34" i="10" s="1"/>
  <c r="Z34" i="10" s="1"/>
  <c r="X34" i="10" s="1"/>
  <c r="R30" i="8"/>
  <c r="U30" i="8"/>
  <c r="V30" i="8" s="1"/>
  <c r="R31" i="8"/>
  <c r="U31" i="8"/>
  <c r="V31" i="8" s="1"/>
  <c r="Y31" i="8"/>
  <c r="Z31" i="8" s="1"/>
  <c r="U32" i="8"/>
  <c r="V32" i="8" s="1"/>
  <c r="Y32" i="8"/>
  <c r="Z32" i="8" s="1"/>
  <c r="U33" i="8"/>
  <c r="V33" i="8" s="1"/>
  <c r="Y33" i="8"/>
  <c r="Z33" i="8" s="1"/>
  <c r="AC33" i="8"/>
  <c r="AD33" i="8" s="1"/>
  <c r="U34" i="8"/>
  <c r="V34" i="8" s="1"/>
  <c r="Y34" i="8"/>
  <c r="Z34" i="8" s="1"/>
  <c r="AC34" i="8"/>
  <c r="AD34" i="8" s="1"/>
  <c r="U35" i="8"/>
  <c r="V35" i="8" s="1"/>
  <c r="Y35" i="8"/>
  <c r="Z35" i="8" s="1"/>
  <c r="R36" i="8"/>
  <c r="Y37" i="8"/>
  <c r="Z37" i="8" s="1"/>
  <c r="AC37" i="8"/>
  <c r="AD37" i="8" s="1"/>
  <c r="V30" i="1"/>
  <c r="T30" i="1" s="1"/>
  <c r="S29" i="11" l="1"/>
  <c r="U29" i="11" s="1"/>
  <c r="S26" i="11"/>
  <c r="U26" i="11" s="1"/>
  <c r="AG37" i="1"/>
  <c r="AH37" i="1" s="1"/>
  <c r="AF37" i="1" s="1"/>
  <c r="U36" i="1"/>
  <c r="V36" i="1" s="1"/>
  <c r="T36" i="1" s="1"/>
  <c r="AC35" i="1"/>
  <c r="AD35" i="1" s="1"/>
  <c r="AB35" i="1" s="1"/>
  <c r="AG34" i="1"/>
  <c r="AH34" i="1" s="1"/>
  <c r="AF34" i="1" s="1"/>
  <c r="AG33" i="1"/>
  <c r="AH33" i="1" s="1"/>
  <c r="AF33" i="1" s="1"/>
  <c r="AC32" i="1"/>
  <c r="AD32" i="1" s="1"/>
  <c r="AB32" i="1" s="1"/>
  <c r="Z27" i="10"/>
  <c r="X27" i="10" s="1"/>
  <c r="Z33" i="10"/>
  <c r="X33" i="10" s="1"/>
  <c r="U32" i="10"/>
  <c r="R32" i="10" s="1"/>
  <c r="Z30" i="10"/>
  <c r="X30" i="10" s="1"/>
  <c r="T28" i="10"/>
  <c r="R28" i="10" s="1"/>
  <c r="AC31" i="8"/>
  <c r="AD31" i="8" s="1"/>
  <c r="AG37" i="8"/>
  <c r="AH37" i="8" s="1"/>
  <c r="U36" i="8"/>
  <c r="V36" i="8" s="1"/>
  <c r="AC35" i="8"/>
  <c r="AD35" i="8" s="1"/>
  <c r="AG34" i="8"/>
  <c r="AH34" i="8" s="1"/>
  <c r="AG33" i="8"/>
  <c r="AH33" i="8" s="1"/>
  <c r="AC32" i="8"/>
  <c r="AD32" i="8" s="1"/>
  <c r="Y30" i="8"/>
  <c r="Z30" i="8" s="1"/>
  <c r="W27" i="1"/>
  <c r="AF27" i="1" s="1"/>
  <c r="N25" i="1"/>
  <c r="AF25" i="1" s="1"/>
  <c r="P26" i="1"/>
  <c r="AF26" i="1" s="1"/>
  <c r="P24" i="1"/>
  <c r="AF24" i="1" s="1"/>
  <c r="AA23" i="1"/>
  <c r="AF23" i="1" s="1"/>
  <c r="W22" i="1"/>
  <c r="AF22" i="1" s="1"/>
  <c r="N21" i="1"/>
  <c r="AF21" i="1" s="1"/>
  <c r="S20" i="1"/>
  <c r="AF20" i="1" s="1"/>
  <c r="B37" i="1" l="1"/>
  <c r="E37" i="1" s="1"/>
  <c r="B36" i="1"/>
  <c r="E36" i="1" s="1"/>
  <c r="B35" i="1"/>
  <c r="E35" i="1" s="1"/>
  <c r="B34" i="1"/>
  <c r="E34" i="1" s="1"/>
  <c r="B33" i="1"/>
  <c r="E33" i="1" s="1"/>
  <c r="B32" i="1"/>
  <c r="E32" i="1" s="1"/>
  <c r="B31" i="1"/>
  <c r="E31" i="1" s="1"/>
  <c r="B30" i="1"/>
  <c r="E30" i="1" s="1"/>
  <c r="B20" i="1"/>
  <c r="E20" i="1" s="1"/>
  <c r="B21" i="1"/>
  <c r="E21" i="1" s="1"/>
  <c r="B27" i="1"/>
  <c r="E27" i="1" s="1"/>
  <c r="B26" i="1"/>
  <c r="E26" i="1" s="1"/>
  <c r="B25" i="1"/>
  <c r="E25" i="1" s="1"/>
  <c r="B24" i="1"/>
  <c r="E24" i="1" s="1"/>
  <c r="B23" i="1"/>
  <c r="E23" i="1" s="1"/>
  <c r="B22" i="1"/>
  <c r="E22" i="1" s="1"/>
</calcChain>
</file>

<file path=xl/sharedStrings.xml><?xml version="1.0" encoding="utf-8"?>
<sst xmlns="http://schemas.openxmlformats.org/spreadsheetml/2006/main" count="2103" uniqueCount="124">
  <si>
    <t>Längenmaße</t>
  </si>
  <si>
    <t>km</t>
  </si>
  <si>
    <t>m</t>
  </si>
  <si>
    <t>dm</t>
  </si>
  <si>
    <t>cm</t>
  </si>
  <si>
    <t>mm</t>
  </si>
  <si>
    <t>2) Verwandlein die angegeben Einheit!</t>
  </si>
  <si>
    <t>1) Wiederhole die Umwandlungszahlen!</t>
  </si>
  <si>
    <t>a)</t>
  </si>
  <si>
    <t>b)</t>
  </si>
  <si>
    <t>c)</t>
  </si>
  <si>
    <t>d)</t>
  </si>
  <si>
    <t>e)</t>
  </si>
  <si>
    <t>f)</t>
  </si>
  <si>
    <t>g)</t>
  </si>
  <si>
    <t>h)</t>
  </si>
  <si>
    <t>i)</t>
  </si>
  <si>
    <t>j)</t>
  </si>
  <si>
    <t>k)</t>
  </si>
  <si>
    <t>l)</t>
  </si>
  <si>
    <t>m)</t>
  </si>
  <si>
    <t>n)</t>
  </si>
  <si>
    <t>o)</t>
  </si>
  <si>
    <t>Wähle eine Startzahl zwischen 50 und 99:</t>
  </si>
  <si>
    <t>=</t>
  </si>
  <si>
    <t>p)</t>
  </si>
  <si>
    <t>I)</t>
  </si>
  <si>
    <t>II)</t>
  </si>
  <si>
    <t>III)</t>
  </si>
  <si>
    <t>IV)</t>
  </si>
  <si>
    <t>V)</t>
  </si>
  <si>
    <t>VI)</t>
  </si>
  <si>
    <t>VII)</t>
  </si>
  <si>
    <t>VIII)</t>
  </si>
  <si>
    <t>IX)</t>
  </si>
  <si>
    <t>X)</t>
  </si>
  <si>
    <t>XI)</t>
  </si>
  <si>
    <t>XII)</t>
  </si>
  <si>
    <t>XIII)</t>
  </si>
  <si>
    <t>XIV)</t>
  </si>
  <si>
    <t>XV)</t>
  </si>
  <si>
    <t>XVI)</t>
  </si>
  <si>
    <t>Fülle die blau hinterlegten Felder aus!</t>
  </si>
  <si>
    <t>Wähle eine Startzahl zwischen 1 und 5:</t>
  </si>
  <si>
    <t>Diese Ergebnisse werden von der Lehrperson kontrolliert!</t>
  </si>
  <si>
    <t>Selbstkontrolle</t>
  </si>
  <si>
    <r>
      <t>m</t>
    </r>
    <r>
      <rPr>
        <b/>
        <vertAlign val="superscript"/>
        <sz val="14"/>
        <color theme="1"/>
        <rFont val="Calibri"/>
        <family val="2"/>
        <scheme val="minor"/>
      </rPr>
      <t>2</t>
    </r>
  </si>
  <si>
    <r>
      <t>dm</t>
    </r>
    <r>
      <rPr>
        <b/>
        <vertAlign val="superscript"/>
        <sz val="14"/>
        <color theme="1"/>
        <rFont val="Calibri"/>
        <family val="2"/>
        <scheme val="minor"/>
      </rPr>
      <t>2</t>
    </r>
  </si>
  <si>
    <r>
      <t>cm</t>
    </r>
    <r>
      <rPr>
        <b/>
        <vertAlign val="superscript"/>
        <sz val="14"/>
        <color theme="1"/>
        <rFont val="Calibri"/>
        <family val="2"/>
        <scheme val="minor"/>
      </rPr>
      <t>2</t>
    </r>
  </si>
  <si>
    <r>
      <t>mm</t>
    </r>
    <r>
      <rPr>
        <b/>
        <vertAlign val="superscript"/>
        <sz val="14"/>
        <color theme="1"/>
        <rFont val="Calibri"/>
        <family val="2"/>
        <scheme val="minor"/>
      </rPr>
      <t>2</t>
    </r>
  </si>
  <si>
    <t>Flächenmaße</t>
  </si>
  <si>
    <r>
      <t>m</t>
    </r>
    <r>
      <rPr>
        <vertAlign val="superscript"/>
        <sz val="12"/>
        <color theme="1"/>
        <rFont val="Calibri"/>
        <family val="2"/>
        <scheme val="minor"/>
      </rPr>
      <t>2</t>
    </r>
  </si>
  <si>
    <r>
      <t>dm</t>
    </r>
    <r>
      <rPr>
        <vertAlign val="superscript"/>
        <sz val="12"/>
        <color theme="1"/>
        <rFont val="Calibri"/>
        <family val="2"/>
        <scheme val="minor"/>
      </rPr>
      <t>2</t>
    </r>
  </si>
  <si>
    <r>
      <t>mm</t>
    </r>
    <r>
      <rPr>
        <vertAlign val="superscript"/>
        <sz val="12"/>
        <color theme="1"/>
        <rFont val="Calibri"/>
        <family val="2"/>
        <scheme val="minor"/>
      </rPr>
      <t>2</t>
    </r>
  </si>
  <si>
    <r>
      <t>cm</t>
    </r>
    <r>
      <rPr>
        <vertAlign val="superscript"/>
        <sz val="12"/>
        <color theme="1"/>
        <rFont val="Calibri"/>
        <family val="2"/>
        <scheme val="minor"/>
      </rPr>
      <t>2</t>
    </r>
  </si>
  <si>
    <r>
      <t>cm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</si>
  <si>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mm</t>
    </r>
    <r>
      <rPr>
        <vertAlign val="superscript"/>
        <sz val="11"/>
        <color theme="1"/>
        <rFont val="Calibri"/>
        <family val="2"/>
        <scheme val="minor"/>
      </rPr>
      <t>2</t>
    </r>
  </si>
  <si>
    <t>Raummaße</t>
  </si>
  <si>
    <r>
      <t>m</t>
    </r>
    <r>
      <rPr>
        <b/>
        <vertAlign val="superscript"/>
        <sz val="14"/>
        <color theme="1"/>
        <rFont val="Calibri"/>
        <family val="2"/>
        <scheme val="minor"/>
      </rPr>
      <t>3</t>
    </r>
  </si>
  <si>
    <r>
      <t>dm</t>
    </r>
    <r>
      <rPr>
        <b/>
        <vertAlign val="superscript"/>
        <sz val="14"/>
        <color theme="1"/>
        <rFont val="Calibri"/>
        <family val="2"/>
        <scheme val="minor"/>
      </rPr>
      <t>3</t>
    </r>
  </si>
  <si>
    <r>
      <t>cm</t>
    </r>
    <r>
      <rPr>
        <b/>
        <vertAlign val="superscript"/>
        <sz val="14"/>
        <color theme="1"/>
        <rFont val="Calibri"/>
        <family val="2"/>
        <scheme val="minor"/>
      </rPr>
      <t>3</t>
    </r>
  </si>
  <si>
    <r>
      <t>mm</t>
    </r>
    <r>
      <rPr>
        <b/>
        <vertAlign val="superscript"/>
        <sz val="14"/>
        <color theme="1"/>
        <rFont val="Calibri"/>
        <family val="2"/>
        <scheme val="minor"/>
      </rPr>
      <t>3</t>
    </r>
  </si>
  <si>
    <r>
      <t>m</t>
    </r>
    <r>
      <rPr>
        <vertAlign val="superscript"/>
        <sz val="12"/>
        <color theme="1"/>
        <rFont val="Calibri"/>
        <family val="2"/>
        <scheme val="minor"/>
      </rPr>
      <t>3</t>
    </r>
  </si>
  <si>
    <r>
      <t>dm</t>
    </r>
    <r>
      <rPr>
        <vertAlign val="superscript"/>
        <sz val="12"/>
        <color theme="1"/>
        <rFont val="Calibri"/>
        <family val="2"/>
        <scheme val="minor"/>
      </rPr>
      <t>3</t>
    </r>
  </si>
  <si>
    <r>
      <t>cm</t>
    </r>
    <r>
      <rPr>
        <vertAlign val="superscript"/>
        <sz val="12"/>
        <color theme="1"/>
        <rFont val="Calibri"/>
        <family val="2"/>
        <scheme val="minor"/>
      </rPr>
      <t>3</t>
    </r>
  </si>
  <si>
    <r>
      <t>mm</t>
    </r>
    <r>
      <rPr>
        <vertAlign val="superscript"/>
        <sz val="12"/>
        <color theme="1"/>
        <rFont val="Calibri"/>
        <family val="2"/>
        <scheme val="minor"/>
      </rPr>
      <t>3</t>
    </r>
  </si>
  <si>
    <r>
      <t>1 m</t>
    </r>
    <r>
      <rPr>
        <vertAlign val="superscript"/>
        <sz val="12"/>
        <color theme="1"/>
        <rFont val="Calibri"/>
        <family val="2"/>
        <scheme val="minor"/>
      </rPr>
      <t>2</t>
    </r>
  </si>
  <si>
    <r>
      <t>1 dm</t>
    </r>
    <r>
      <rPr>
        <vertAlign val="superscript"/>
        <sz val="12"/>
        <color theme="1"/>
        <rFont val="Calibri"/>
        <family val="2"/>
        <scheme val="minor"/>
      </rPr>
      <t>2</t>
    </r>
  </si>
  <si>
    <r>
      <t>1 cm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</si>
  <si>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1 m</t>
    </r>
    <r>
      <rPr>
        <vertAlign val="superscript"/>
        <sz val="12"/>
        <color theme="1"/>
        <rFont val="Calibri"/>
        <family val="2"/>
        <scheme val="minor"/>
      </rPr>
      <t>3</t>
    </r>
  </si>
  <si>
    <r>
      <t>1 dm</t>
    </r>
    <r>
      <rPr>
        <vertAlign val="superscript"/>
        <sz val="12"/>
        <color theme="1"/>
        <rFont val="Calibri"/>
        <family val="2"/>
        <scheme val="minor"/>
      </rPr>
      <t>3</t>
    </r>
  </si>
  <si>
    <r>
      <t>1 cm</t>
    </r>
    <r>
      <rPr>
        <vertAlign val="superscript"/>
        <sz val="12"/>
        <color theme="1"/>
        <rFont val="Calibri"/>
        <family val="2"/>
        <scheme val="minor"/>
      </rPr>
      <t>3</t>
    </r>
  </si>
  <si>
    <t>1 m</t>
  </si>
  <si>
    <t>1 dm</t>
  </si>
  <si>
    <t>1 cm</t>
  </si>
  <si>
    <t>1 km</t>
  </si>
  <si>
    <t>Zeitmaße</t>
  </si>
  <si>
    <t>Monate</t>
  </si>
  <si>
    <t>Tage (d)</t>
  </si>
  <si>
    <t>Stunden (h)</t>
  </si>
  <si>
    <t>Minuten (min)</t>
  </si>
  <si>
    <t>Sekunden (sec)</t>
  </si>
  <si>
    <t>Wochen</t>
  </si>
  <si>
    <t>1 Monat</t>
  </si>
  <si>
    <t>1 Woche</t>
  </si>
  <si>
    <t>1 Tag</t>
  </si>
  <si>
    <t xml:space="preserve"> d</t>
  </si>
  <si>
    <t>d</t>
  </si>
  <si>
    <t>h</t>
  </si>
  <si>
    <t>min</t>
  </si>
  <si>
    <t>sec</t>
  </si>
  <si>
    <t>1 Stunde</t>
  </si>
  <si>
    <t>1 Minute</t>
  </si>
  <si>
    <t>Wähle eine Startahl zwischen 1 und 9:</t>
  </si>
  <si>
    <t>M</t>
  </si>
  <si>
    <t>W</t>
  </si>
  <si>
    <t>1 Jahr (J)</t>
  </si>
  <si>
    <t>Monate (M)</t>
  </si>
  <si>
    <t>Wochen (W)</t>
  </si>
  <si>
    <t>J</t>
  </si>
  <si>
    <t>Woche</t>
  </si>
  <si>
    <t>Jahr</t>
  </si>
  <si>
    <t>Monat</t>
  </si>
  <si>
    <t>Woche(n)</t>
  </si>
  <si>
    <r>
      <t>Jahr(</t>
    </r>
    <r>
      <rPr>
        <sz val="11"/>
        <color theme="0"/>
        <rFont val="Calibri"/>
        <family val="2"/>
        <scheme val="minor"/>
      </rPr>
      <t>'</t>
    </r>
    <r>
      <rPr>
        <sz val="11"/>
        <color theme="1"/>
        <rFont val="Calibri"/>
        <family val="2"/>
        <scheme val="minor"/>
      </rPr>
      <t>e)</t>
    </r>
  </si>
  <si>
    <t>Gewichtsmaße</t>
  </si>
  <si>
    <t>t</t>
  </si>
  <si>
    <t>kg</t>
  </si>
  <si>
    <t>dag</t>
  </si>
  <si>
    <t>g</t>
  </si>
  <si>
    <t>1 t</t>
  </si>
  <si>
    <t>1 kg</t>
  </si>
  <si>
    <t>1 dag</t>
  </si>
  <si>
    <t>Euro</t>
  </si>
  <si>
    <t>€</t>
  </si>
  <si>
    <t>ct</t>
  </si>
  <si>
    <t>Wähle eine Startzahl zwischen 1 und 10:</t>
  </si>
  <si>
    <t>3) Berechne!</t>
  </si>
  <si>
    <t>3a)</t>
  </si>
  <si>
    <t>3b)</t>
  </si>
  <si>
    <t>3c)</t>
  </si>
  <si>
    <t>3d)</t>
  </si>
  <si>
    <t>+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</si>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</sst>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€&quot;;[Red]\-#,##0\ &quot;€&quot;"/>
    <numFmt numFmtId="165" formatCode="0.0000"/>
    <numFmt numFmtId="166" formatCode="0.000000"/>
    <numFmt numFmtId="167" formatCode="0.00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 Unicode MS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i/>
      <sz val="12"/>
      <color theme="3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theme="3" tint="-0.249977111117893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sz val="8"/>
      <color theme="7" tint="-0.249977111117893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5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Alignment="1"/>
    <xf numFmtId="0" fontId="6" fillId="0" borderId="0" xfId="0" applyFont="1" applyAlignment="1"/>
    <xf numFmtId="0" fontId="7" fillId="0" borderId="0" xfId="0" applyFont="1"/>
    <xf numFmtId="0" fontId="3" fillId="0" borderId="0" xfId="0" applyFont="1"/>
    <xf numFmtId="0" fontId="2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Border="1"/>
    <xf numFmtId="0" fontId="9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quotePrefix="1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7" fillId="0" borderId="0" xfId="0" quotePrefix="1" applyFont="1" applyBorder="1" applyAlignment="1">
      <alignment horizontal="center"/>
    </xf>
    <xf numFmtId="0" fontId="7" fillId="0" borderId="1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3" xfId="0" applyFont="1" applyBorder="1"/>
    <xf numFmtId="0" fontId="7" fillId="2" borderId="0" xfId="0" applyFont="1" applyFill="1" applyBorder="1" applyAlignment="1">
      <alignment horizontal="center"/>
    </xf>
    <xf numFmtId="1" fontId="10" fillId="4" borderId="1" xfId="0" applyNumberFormat="1" applyFont="1" applyFill="1" applyBorder="1" applyAlignment="1">
      <alignment horizontal="center"/>
    </xf>
    <xf numFmtId="1" fontId="10" fillId="4" borderId="0" xfId="0" applyNumberFormat="1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/>
    </xf>
    <xf numFmtId="0" fontId="7" fillId="0" borderId="0" xfId="0" applyFont="1" applyAlignment="1"/>
    <xf numFmtId="0" fontId="7" fillId="2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</xf>
    <xf numFmtId="0" fontId="10" fillId="4" borderId="1" xfId="0" applyFont="1" applyFill="1" applyBorder="1" applyAlignment="1" applyProtection="1">
      <alignment horizontal="center"/>
      <protection locked="0"/>
    </xf>
    <xf numFmtId="1" fontId="10" fillId="4" borderId="1" xfId="0" applyNumberFormat="1" applyFont="1" applyFill="1" applyBorder="1" applyAlignment="1" applyProtection="1">
      <alignment horizontal="center"/>
      <protection locked="0"/>
    </xf>
    <xf numFmtId="0" fontId="13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1" fontId="0" fillId="0" borderId="0" xfId="0" applyNumberFormat="1"/>
    <xf numFmtId="0" fontId="14" fillId="0" borderId="0" xfId="0" applyFont="1" applyAlignment="1"/>
    <xf numFmtId="166" fontId="10" fillId="4" borderId="1" xfId="0" applyNumberFormat="1" applyFont="1" applyFill="1" applyBorder="1" applyAlignment="1" applyProtection="1">
      <alignment horizontal="center"/>
      <protection locked="0"/>
    </xf>
    <xf numFmtId="1" fontId="19" fillId="0" borderId="0" xfId="0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2" fillId="0" borderId="0" xfId="0" applyFont="1" applyAlignment="1">
      <alignment vertical="center"/>
    </xf>
    <xf numFmtId="0" fontId="7" fillId="2" borderId="1" xfId="0" applyFont="1" applyFill="1" applyBorder="1" applyAlignment="1" applyProtection="1"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0" fillId="4" borderId="1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7" fillId="2" borderId="1" xfId="0" applyFont="1" applyFill="1" applyBorder="1" applyAlignment="1" applyProtection="1">
      <alignment horizontal="center"/>
    </xf>
    <xf numFmtId="167" fontId="0" fillId="0" borderId="0" xfId="0" applyNumberFormat="1"/>
    <xf numFmtId="167" fontId="10" fillId="4" borderId="1" xfId="0" applyNumberFormat="1" applyFont="1" applyFill="1" applyBorder="1" applyAlignment="1" applyProtection="1">
      <alignment horizontal="center"/>
      <protection locked="0"/>
    </xf>
    <xf numFmtId="166" fontId="0" fillId="0" borderId="0" xfId="0" applyNumberFormat="1"/>
    <xf numFmtId="0" fontId="10" fillId="4" borderId="1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7" fillId="2" borderId="1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7" fillId="2" borderId="1" xfId="0" applyFont="1" applyFill="1" applyBorder="1" applyAlignment="1" applyProtection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1" xfId="0" applyFont="1" applyFill="1" applyBorder="1" applyAlignment="1" applyProtection="1">
      <alignment horizontal="center"/>
    </xf>
    <xf numFmtId="1" fontId="10" fillId="4" borderId="1" xfId="0" applyNumberFormat="1" applyFont="1" applyFill="1" applyBorder="1" applyAlignment="1" applyProtection="1">
      <alignment horizontal="center"/>
    </xf>
    <xf numFmtId="165" fontId="10" fillId="4" borderId="1" xfId="0" applyNumberFormat="1" applyFont="1" applyFill="1" applyBorder="1" applyAlignment="1" applyProtection="1">
      <alignment horizontal="center"/>
    </xf>
    <xf numFmtId="166" fontId="10" fillId="4" borderId="1" xfId="0" applyNumberFormat="1" applyFont="1" applyFill="1" applyBorder="1" applyAlignment="1" applyProtection="1">
      <alignment horizontal="center"/>
    </xf>
    <xf numFmtId="0" fontId="11" fillId="0" borderId="0" xfId="0" applyFont="1" applyAlignment="1"/>
    <xf numFmtId="0" fontId="14" fillId="0" borderId="0" xfId="0" applyFont="1" applyAlignment="1" applyProtection="1"/>
    <xf numFmtId="0" fontId="21" fillId="0" borderId="0" xfId="0" applyFont="1" applyAlignment="1" applyProtection="1"/>
    <xf numFmtId="0" fontId="0" fillId="0" borderId="0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center"/>
    </xf>
    <xf numFmtId="0" fontId="7" fillId="2" borderId="0" xfId="0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14" fillId="0" borderId="5" xfId="0" applyFont="1" applyBorder="1" applyAlignment="1" applyProtection="1"/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7" fillId="2" borderId="1" xfId="0" applyFont="1" applyFill="1" applyBorder="1" applyAlignment="1" applyProtection="1"/>
    <xf numFmtId="164" fontId="0" fillId="0" borderId="0" xfId="0" applyNumberFormat="1" applyAlignment="1">
      <alignment horizontal="center"/>
    </xf>
    <xf numFmtId="0" fontId="8" fillId="0" borderId="0" xfId="0" applyFont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2" borderId="2" xfId="0" applyFont="1" applyFill="1" applyBorder="1" applyAlignment="1" applyProtection="1">
      <alignment horizontal="center"/>
      <protection locked="0"/>
    </xf>
    <xf numFmtId="0" fontId="10" fillId="4" borderId="1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10" fillId="4" borderId="2" xfId="0" applyFont="1" applyFill="1" applyBorder="1" applyAlignment="1" applyProtection="1">
      <alignment horizontal="center"/>
      <protection locked="0"/>
    </xf>
    <xf numFmtId="0" fontId="14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7" fillId="2" borderId="1" xfId="0" applyFont="1" applyFill="1" applyBorder="1" applyAlignment="1" applyProtection="1">
      <alignment horizontal="center"/>
    </xf>
    <xf numFmtId="0" fontId="10" fillId="4" borderId="1" xfId="0" applyFont="1" applyFill="1" applyBorder="1" applyAlignment="1" applyProtection="1">
      <alignment horizontal="center"/>
    </xf>
    <xf numFmtId="0" fontId="10" fillId="4" borderId="2" xfId="0" applyFont="1" applyFill="1" applyBorder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right"/>
    </xf>
  </cellXfs>
  <cellStyles count="1">
    <cellStyle name="Standard" xfId="0" builtinId="0"/>
  </cellStyles>
  <dxfs count="48"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0" tint="-0.34998626667073579"/>
      </font>
    </dxf>
    <dxf>
      <font>
        <b/>
        <i val="0"/>
        <color rgb="FF029830"/>
      </font>
      <fill>
        <patternFill>
          <bgColor rgb="FF63F374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63F374"/>
      <color rgb="FF029830"/>
      <color rgb="FF31EF4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123828</xdr:colOff>
      <xdr:row>5</xdr:row>
      <xdr:rowOff>238124</xdr:rowOff>
    </xdr:from>
    <xdr:to>
      <xdr:col>11</xdr:col>
      <xdr:colOff>180975</xdr:colOff>
      <xdr:row>6</xdr:row>
      <xdr:rowOff>104775</xdr:rowOff>
    </xdr:to>
    <xdr:sp macro="" textlink="">
      <xdr:nvSpPr>
        <xdr:cNvPr id="2" name="Runde Klammer links 1"/>
        <xdr:cNvSpPr/>
      </xdr:nvSpPr>
      <xdr:spPr>
        <a:xfrm rot="16200000">
          <a:off x="5072064" y="957263"/>
          <a:ext cx="104776" cy="914397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11</xdr:col>
      <xdr:colOff>219076</xdr:colOff>
      <xdr:row>6</xdr:row>
      <xdr:rowOff>1</xdr:rowOff>
    </xdr:from>
    <xdr:to>
      <xdr:col>13</xdr:col>
      <xdr:colOff>190500</xdr:colOff>
      <xdr:row>6</xdr:row>
      <xdr:rowOff>104775</xdr:rowOff>
    </xdr:to>
    <xdr:sp macro="" textlink="">
      <xdr:nvSpPr>
        <xdr:cNvPr id="3" name="Runde Klammer links 2"/>
        <xdr:cNvSpPr/>
      </xdr:nvSpPr>
      <xdr:spPr>
        <a:xfrm rot="16200000">
          <a:off x="5905501" y="1076326"/>
          <a:ext cx="104774" cy="676274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13</xdr:col>
      <xdr:colOff>238126</xdr:colOff>
      <xdr:row>5</xdr:row>
      <xdr:rowOff>238124</xdr:rowOff>
    </xdr:from>
    <xdr:to>
      <xdr:col>15</xdr:col>
      <xdr:colOff>228600</xdr:colOff>
      <xdr:row>6</xdr:row>
      <xdr:rowOff>104773</xdr:rowOff>
    </xdr:to>
    <xdr:sp macro="" textlink="">
      <xdr:nvSpPr>
        <xdr:cNvPr id="4" name="Runde Klammer links 3"/>
        <xdr:cNvSpPr/>
      </xdr:nvSpPr>
      <xdr:spPr>
        <a:xfrm rot="16200000">
          <a:off x="6681789" y="1023936"/>
          <a:ext cx="104774" cy="781049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15</xdr:col>
      <xdr:colOff>276224</xdr:colOff>
      <xdr:row>5</xdr:row>
      <xdr:rowOff>238124</xdr:rowOff>
    </xdr:from>
    <xdr:to>
      <xdr:col>18</xdr:col>
      <xdr:colOff>219076</xdr:colOff>
      <xdr:row>6</xdr:row>
      <xdr:rowOff>104775</xdr:rowOff>
    </xdr:to>
    <xdr:sp macro="" textlink="">
      <xdr:nvSpPr>
        <xdr:cNvPr id="5" name="Runde Klammer links 4"/>
        <xdr:cNvSpPr/>
      </xdr:nvSpPr>
      <xdr:spPr>
        <a:xfrm rot="16200000">
          <a:off x="7496175" y="1038223"/>
          <a:ext cx="104776" cy="752477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219077</xdr:colOff>
      <xdr:row>7</xdr:row>
      <xdr:rowOff>19045</xdr:rowOff>
    </xdr:from>
    <xdr:to>
      <xdr:col>6</xdr:col>
      <xdr:colOff>209550</xdr:colOff>
      <xdr:row>7</xdr:row>
      <xdr:rowOff>133349</xdr:rowOff>
    </xdr:to>
    <xdr:sp macro="" textlink="">
      <xdr:nvSpPr>
        <xdr:cNvPr id="3" name="Runde Klammer links 2"/>
        <xdr:cNvSpPr/>
      </xdr:nvSpPr>
      <xdr:spPr>
        <a:xfrm rot="16200000">
          <a:off x="4138612" y="1347785"/>
          <a:ext cx="114304" cy="333373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161926</xdr:colOff>
      <xdr:row>5</xdr:row>
      <xdr:rowOff>238123</xdr:rowOff>
    </xdr:from>
    <xdr:to>
      <xdr:col>10</xdr:col>
      <xdr:colOff>104775</xdr:colOff>
      <xdr:row>6</xdr:row>
      <xdr:rowOff>123825</xdr:rowOff>
    </xdr:to>
    <xdr:sp macro="" textlink="">
      <xdr:nvSpPr>
        <xdr:cNvPr id="2" name="Runde Klammer links 1"/>
        <xdr:cNvSpPr/>
      </xdr:nvSpPr>
      <xdr:spPr>
        <a:xfrm rot="16200000">
          <a:off x="4152899" y="752475"/>
          <a:ext cx="123827" cy="942974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10</xdr:col>
      <xdr:colOff>209551</xdr:colOff>
      <xdr:row>6</xdr:row>
      <xdr:rowOff>1</xdr:rowOff>
    </xdr:from>
    <xdr:to>
      <xdr:col>13</xdr:col>
      <xdr:colOff>371476</xdr:colOff>
      <xdr:row>6</xdr:row>
      <xdr:rowOff>104775</xdr:rowOff>
    </xdr:to>
    <xdr:sp macro="" textlink="">
      <xdr:nvSpPr>
        <xdr:cNvPr id="3" name="Runde Klammer links 2"/>
        <xdr:cNvSpPr/>
      </xdr:nvSpPr>
      <xdr:spPr>
        <a:xfrm rot="16200000">
          <a:off x="5348289" y="604838"/>
          <a:ext cx="104774" cy="1219200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13</xdr:col>
      <xdr:colOff>447677</xdr:colOff>
      <xdr:row>5</xdr:row>
      <xdr:rowOff>238124</xdr:rowOff>
    </xdr:from>
    <xdr:to>
      <xdr:col>15</xdr:col>
      <xdr:colOff>361951</xdr:colOff>
      <xdr:row>6</xdr:row>
      <xdr:rowOff>104775</xdr:rowOff>
    </xdr:to>
    <xdr:sp macro="" textlink="">
      <xdr:nvSpPr>
        <xdr:cNvPr id="4" name="Runde Klammer links 3"/>
        <xdr:cNvSpPr/>
      </xdr:nvSpPr>
      <xdr:spPr>
        <a:xfrm rot="16200000">
          <a:off x="6753226" y="495300"/>
          <a:ext cx="104776" cy="1438274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15</xdr:col>
      <xdr:colOff>428624</xdr:colOff>
      <xdr:row>5</xdr:row>
      <xdr:rowOff>238124</xdr:rowOff>
    </xdr:from>
    <xdr:to>
      <xdr:col>18</xdr:col>
      <xdr:colOff>342901</xdr:colOff>
      <xdr:row>6</xdr:row>
      <xdr:rowOff>104775</xdr:rowOff>
    </xdr:to>
    <xdr:sp macro="" textlink="">
      <xdr:nvSpPr>
        <xdr:cNvPr id="5" name="Runde Klammer links 4"/>
        <xdr:cNvSpPr/>
      </xdr:nvSpPr>
      <xdr:spPr>
        <a:xfrm rot="16200000">
          <a:off x="8258175" y="495298"/>
          <a:ext cx="104776" cy="1438277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5</xdr:row>
      <xdr:rowOff>247647</xdr:rowOff>
    </xdr:from>
    <xdr:to>
      <xdr:col>2</xdr:col>
      <xdr:colOff>152404</xdr:colOff>
      <xdr:row>6</xdr:row>
      <xdr:rowOff>95249</xdr:rowOff>
    </xdr:to>
    <xdr:sp macro="" textlink="">
      <xdr:nvSpPr>
        <xdr:cNvPr id="3" name="Runde Klammer links 2"/>
        <xdr:cNvSpPr/>
      </xdr:nvSpPr>
      <xdr:spPr>
        <a:xfrm rot="16200000">
          <a:off x="4567239" y="928683"/>
          <a:ext cx="114302" cy="1000129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2</xdr:col>
      <xdr:colOff>190500</xdr:colOff>
      <xdr:row>5</xdr:row>
      <xdr:rowOff>238123</xdr:rowOff>
    </xdr:from>
    <xdr:to>
      <xdr:col>4</xdr:col>
      <xdr:colOff>161925</xdr:colOff>
      <xdr:row>6</xdr:row>
      <xdr:rowOff>95249</xdr:rowOff>
    </xdr:to>
    <xdr:sp macro="" textlink="">
      <xdr:nvSpPr>
        <xdr:cNvPr id="4" name="Runde Klammer links 3"/>
        <xdr:cNvSpPr/>
      </xdr:nvSpPr>
      <xdr:spPr>
        <a:xfrm rot="16200000">
          <a:off x="5534025" y="990598"/>
          <a:ext cx="123826" cy="866775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4</xdr:col>
      <xdr:colOff>200025</xdr:colOff>
      <xdr:row>5</xdr:row>
      <xdr:rowOff>238123</xdr:rowOff>
    </xdr:from>
    <xdr:to>
      <xdr:col>6</xdr:col>
      <xdr:colOff>171451</xdr:colOff>
      <xdr:row>6</xdr:row>
      <xdr:rowOff>95250</xdr:rowOff>
    </xdr:to>
    <xdr:sp macro="" textlink="">
      <xdr:nvSpPr>
        <xdr:cNvPr id="5" name="Runde Klammer links 4"/>
        <xdr:cNvSpPr/>
      </xdr:nvSpPr>
      <xdr:spPr>
        <a:xfrm rot="16200000">
          <a:off x="6415087" y="1014411"/>
          <a:ext cx="123827" cy="819151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5</xdr:row>
      <xdr:rowOff>247647</xdr:rowOff>
    </xdr:from>
    <xdr:to>
      <xdr:col>2</xdr:col>
      <xdr:colOff>152404</xdr:colOff>
      <xdr:row>6</xdr:row>
      <xdr:rowOff>95249</xdr:rowOff>
    </xdr:to>
    <xdr:sp macro="" textlink="">
      <xdr:nvSpPr>
        <xdr:cNvPr id="2" name="Runde Klammer links 1"/>
        <xdr:cNvSpPr/>
      </xdr:nvSpPr>
      <xdr:spPr>
        <a:xfrm rot="16200000">
          <a:off x="619126" y="933446"/>
          <a:ext cx="114302" cy="990604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2</xdr:col>
      <xdr:colOff>190500</xdr:colOff>
      <xdr:row>5</xdr:row>
      <xdr:rowOff>238123</xdr:rowOff>
    </xdr:from>
    <xdr:to>
      <xdr:col>4</xdr:col>
      <xdr:colOff>161925</xdr:colOff>
      <xdr:row>6</xdr:row>
      <xdr:rowOff>95249</xdr:rowOff>
    </xdr:to>
    <xdr:sp macro="" textlink="">
      <xdr:nvSpPr>
        <xdr:cNvPr id="3" name="Runde Klammer links 2"/>
        <xdr:cNvSpPr/>
      </xdr:nvSpPr>
      <xdr:spPr>
        <a:xfrm rot="16200000">
          <a:off x="1490662" y="1081086"/>
          <a:ext cx="123826" cy="685800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4</xdr:col>
      <xdr:colOff>200025</xdr:colOff>
      <xdr:row>5</xdr:row>
      <xdr:rowOff>238123</xdr:rowOff>
    </xdr:from>
    <xdr:to>
      <xdr:col>6</xdr:col>
      <xdr:colOff>171451</xdr:colOff>
      <xdr:row>6</xdr:row>
      <xdr:rowOff>95250</xdr:rowOff>
    </xdr:to>
    <xdr:sp macro="" textlink="">
      <xdr:nvSpPr>
        <xdr:cNvPr id="4" name="Runde Klammer links 3"/>
        <xdr:cNvSpPr/>
      </xdr:nvSpPr>
      <xdr:spPr>
        <a:xfrm rot="16200000">
          <a:off x="2366962" y="928686"/>
          <a:ext cx="123827" cy="990601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5</xdr:row>
      <xdr:rowOff>247647</xdr:rowOff>
    </xdr:from>
    <xdr:to>
      <xdr:col>2</xdr:col>
      <xdr:colOff>152404</xdr:colOff>
      <xdr:row>6</xdr:row>
      <xdr:rowOff>95249</xdr:rowOff>
    </xdr:to>
    <xdr:sp macro="" textlink="">
      <xdr:nvSpPr>
        <xdr:cNvPr id="2" name="Runde Klammer links 1"/>
        <xdr:cNvSpPr/>
      </xdr:nvSpPr>
      <xdr:spPr>
        <a:xfrm rot="16200000">
          <a:off x="695326" y="857246"/>
          <a:ext cx="114302" cy="1143004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2</xdr:col>
      <xdr:colOff>190500</xdr:colOff>
      <xdr:row>5</xdr:row>
      <xdr:rowOff>238123</xdr:rowOff>
    </xdr:from>
    <xdr:to>
      <xdr:col>4</xdr:col>
      <xdr:colOff>161925</xdr:colOff>
      <xdr:row>6</xdr:row>
      <xdr:rowOff>95249</xdr:rowOff>
    </xdr:to>
    <xdr:sp macro="" textlink="">
      <xdr:nvSpPr>
        <xdr:cNvPr id="3" name="Runde Klammer links 2"/>
        <xdr:cNvSpPr/>
      </xdr:nvSpPr>
      <xdr:spPr>
        <a:xfrm rot="16200000">
          <a:off x="1643062" y="1081086"/>
          <a:ext cx="123826" cy="685800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4</xdr:col>
      <xdr:colOff>200025</xdr:colOff>
      <xdr:row>5</xdr:row>
      <xdr:rowOff>238123</xdr:rowOff>
    </xdr:from>
    <xdr:to>
      <xdr:col>6</xdr:col>
      <xdr:colOff>171451</xdr:colOff>
      <xdr:row>6</xdr:row>
      <xdr:rowOff>95250</xdr:rowOff>
    </xdr:to>
    <xdr:sp macro="" textlink="">
      <xdr:nvSpPr>
        <xdr:cNvPr id="4" name="Runde Klammer links 3"/>
        <xdr:cNvSpPr/>
      </xdr:nvSpPr>
      <xdr:spPr>
        <a:xfrm rot="16200000">
          <a:off x="2519362" y="928686"/>
          <a:ext cx="123827" cy="990601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5</xdr:row>
      <xdr:rowOff>247647</xdr:rowOff>
    </xdr:from>
    <xdr:to>
      <xdr:col>2</xdr:col>
      <xdr:colOff>152404</xdr:colOff>
      <xdr:row>6</xdr:row>
      <xdr:rowOff>95249</xdr:rowOff>
    </xdr:to>
    <xdr:sp macro="" textlink="">
      <xdr:nvSpPr>
        <xdr:cNvPr id="2" name="Runde Klammer links 1"/>
        <xdr:cNvSpPr/>
      </xdr:nvSpPr>
      <xdr:spPr>
        <a:xfrm rot="16200000">
          <a:off x="619126" y="933446"/>
          <a:ext cx="114302" cy="990604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2</xdr:col>
      <xdr:colOff>190500</xdr:colOff>
      <xdr:row>5</xdr:row>
      <xdr:rowOff>238123</xdr:rowOff>
    </xdr:from>
    <xdr:to>
      <xdr:col>4</xdr:col>
      <xdr:colOff>161925</xdr:colOff>
      <xdr:row>6</xdr:row>
      <xdr:rowOff>95249</xdr:rowOff>
    </xdr:to>
    <xdr:sp macro="" textlink="">
      <xdr:nvSpPr>
        <xdr:cNvPr id="3" name="Runde Klammer links 2"/>
        <xdr:cNvSpPr/>
      </xdr:nvSpPr>
      <xdr:spPr>
        <a:xfrm rot="16200000">
          <a:off x="1490662" y="1081086"/>
          <a:ext cx="123826" cy="685800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4</xdr:col>
      <xdr:colOff>200025</xdr:colOff>
      <xdr:row>5</xdr:row>
      <xdr:rowOff>238123</xdr:rowOff>
    </xdr:from>
    <xdr:to>
      <xdr:col>6</xdr:col>
      <xdr:colOff>171451</xdr:colOff>
      <xdr:row>6</xdr:row>
      <xdr:rowOff>95250</xdr:rowOff>
    </xdr:to>
    <xdr:sp macro="" textlink="">
      <xdr:nvSpPr>
        <xdr:cNvPr id="4" name="Runde Klammer links 3"/>
        <xdr:cNvSpPr/>
      </xdr:nvSpPr>
      <xdr:spPr>
        <a:xfrm rot="16200000">
          <a:off x="2366962" y="928686"/>
          <a:ext cx="123827" cy="990601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400053</xdr:colOff>
      <xdr:row>5</xdr:row>
      <xdr:rowOff>238124</xdr:rowOff>
    </xdr:from>
    <xdr:to>
      <xdr:col>10</xdr:col>
      <xdr:colOff>180976</xdr:colOff>
      <xdr:row>6</xdr:row>
      <xdr:rowOff>85725</xdr:rowOff>
    </xdr:to>
    <xdr:sp macro="" textlink="">
      <xdr:nvSpPr>
        <xdr:cNvPr id="2" name="Runde Klammer links 1"/>
        <xdr:cNvSpPr/>
      </xdr:nvSpPr>
      <xdr:spPr>
        <a:xfrm rot="16200000">
          <a:off x="4676777" y="933450"/>
          <a:ext cx="85726" cy="942973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10</xdr:col>
      <xdr:colOff>219076</xdr:colOff>
      <xdr:row>6</xdr:row>
      <xdr:rowOff>1</xdr:rowOff>
    </xdr:from>
    <xdr:to>
      <xdr:col>12</xdr:col>
      <xdr:colOff>190500</xdr:colOff>
      <xdr:row>6</xdr:row>
      <xdr:rowOff>104775</xdr:rowOff>
    </xdr:to>
    <xdr:sp macro="" textlink="">
      <xdr:nvSpPr>
        <xdr:cNvPr id="3" name="Runde Klammer links 2"/>
        <xdr:cNvSpPr/>
      </xdr:nvSpPr>
      <xdr:spPr>
        <a:xfrm rot="16200000">
          <a:off x="5267326" y="914401"/>
          <a:ext cx="104774" cy="1000124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12</xdr:col>
      <xdr:colOff>238126</xdr:colOff>
      <xdr:row>5</xdr:row>
      <xdr:rowOff>238124</xdr:rowOff>
    </xdr:from>
    <xdr:to>
      <xdr:col>14</xdr:col>
      <xdr:colOff>228600</xdr:colOff>
      <xdr:row>6</xdr:row>
      <xdr:rowOff>104773</xdr:rowOff>
    </xdr:to>
    <xdr:sp macro="" textlink="">
      <xdr:nvSpPr>
        <xdr:cNvPr id="4" name="Runde Klammer links 3"/>
        <xdr:cNvSpPr/>
      </xdr:nvSpPr>
      <xdr:spPr>
        <a:xfrm rot="16200000">
          <a:off x="6181726" y="1047749"/>
          <a:ext cx="104774" cy="733424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123828</xdr:colOff>
      <xdr:row>5</xdr:row>
      <xdr:rowOff>238124</xdr:rowOff>
    </xdr:from>
    <xdr:to>
      <xdr:col>11</xdr:col>
      <xdr:colOff>180975</xdr:colOff>
      <xdr:row>6</xdr:row>
      <xdr:rowOff>104775</xdr:rowOff>
    </xdr:to>
    <xdr:sp macro="" textlink="">
      <xdr:nvSpPr>
        <xdr:cNvPr id="2" name="Runde Klammer links 1"/>
        <xdr:cNvSpPr/>
      </xdr:nvSpPr>
      <xdr:spPr>
        <a:xfrm rot="16200000">
          <a:off x="4557714" y="871538"/>
          <a:ext cx="104776" cy="1085847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11</xdr:col>
      <xdr:colOff>219076</xdr:colOff>
      <xdr:row>6</xdr:row>
      <xdr:rowOff>1</xdr:rowOff>
    </xdr:from>
    <xdr:to>
      <xdr:col>13</xdr:col>
      <xdr:colOff>190500</xdr:colOff>
      <xdr:row>6</xdr:row>
      <xdr:rowOff>104775</xdr:rowOff>
    </xdr:to>
    <xdr:sp macro="" textlink="">
      <xdr:nvSpPr>
        <xdr:cNvPr id="3" name="Runde Klammer links 2"/>
        <xdr:cNvSpPr/>
      </xdr:nvSpPr>
      <xdr:spPr>
        <a:xfrm rot="16200000">
          <a:off x="5510214" y="1042988"/>
          <a:ext cx="104774" cy="742949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13</xdr:col>
      <xdr:colOff>238126</xdr:colOff>
      <xdr:row>5</xdr:row>
      <xdr:rowOff>238124</xdr:rowOff>
    </xdr:from>
    <xdr:to>
      <xdr:col>15</xdr:col>
      <xdr:colOff>228600</xdr:colOff>
      <xdr:row>6</xdr:row>
      <xdr:rowOff>104773</xdr:rowOff>
    </xdr:to>
    <xdr:sp macro="" textlink="">
      <xdr:nvSpPr>
        <xdr:cNvPr id="4" name="Runde Klammer links 3"/>
        <xdr:cNvSpPr/>
      </xdr:nvSpPr>
      <xdr:spPr>
        <a:xfrm rot="16200000">
          <a:off x="6319839" y="1023936"/>
          <a:ext cx="104774" cy="781049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219077</xdr:colOff>
      <xdr:row>7</xdr:row>
      <xdr:rowOff>19045</xdr:rowOff>
    </xdr:from>
    <xdr:to>
      <xdr:col>6</xdr:col>
      <xdr:colOff>209550</xdr:colOff>
      <xdr:row>7</xdr:row>
      <xdr:rowOff>133349</xdr:rowOff>
    </xdr:to>
    <xdr:sp macro="" textlink="">
      <xdr:nvSpPr>
        <xdr:cNvPr id="2" name="Runde Klammer links 1"/>
        <xdr:cNvSpPr/>
      </xdr:nvSpPr>
      <xdr:spPr>
        <a:xfrm rot="16200000">
          <a:off x="2690812" y="1347785"/>
          <a:ext cx="114304" cy="333373"/>
        </a:xfrm>
        <a:prstGeom prst="leftBracket">
          <a:avLst>
            <a:gd name="adj" fmla="val 45542"/>
          </a:avLst>
        </a:prstGeom>
        <a:ln w="19050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AT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1"/>
  <sheetViews>
    <sheetView tabSelected="1" zoomScaleNormal="100" workbookViewId="0">
      <selection activeCell="F8" sqref="F8"/>
    </sheetView>
  </sheetViews>
  <sheetFormatPr baseColWidth="10" defaultRowHeight="15" x14ac:dyDescent="0.25"/>
  <cols>
    <col min="1" max="1" width="5.140625" customWidth="1"/>
    <col min="2" max="2" width="9.7109375" customWidth="1"/>
    <col min="3" max="3" width="5.140625" customWidth="1"/>
    <col min="4" max="4" width="5.5703125" customWidth="1"/>
    <col min="5" max="5" width="8.42578125" customWidth="1"/>
    <col min="6" max="6" width="6.85546875" customWidth="1"/>
    <col min="7" max="7" width="7" customWidth="1"/>
    <col min="8" max="8" width="9" hidden="1" customWidth="1"/>
    <col min="9" max="9" width="11.28515625" bestFit="1" customWidth="1"/>
    <col min="10" max="10" width="6.140625" customWidth="1"/>
    <col min="11" max="11" width="9.28515625" customWidth="1"/>
    <col min="12" max="12" width="5.85546875" customWidth="1"/>
    <col min="13" max="13" width="5.7109375" customWidth="1"/>
    <col min="14" max="14" width="6" customWidth="1"/>
    <col min="15" max="15" width="5.85546875" customWidth="1"/>
    <col min="16" max="16" width="6" customWidth="1"/>
    <col min="17" max="17" width="6.140625" customWidth="1"/>
    <col min="18" max="18" width="6.140625" hidden="1" customWidth="1"/>
    <col min="19" max="19" width="6.7109375" customWidth="1"/>
    <col min="20" max="20" width="7.42578125" customWidth="1"/>
    <col min="21" max="22" width="7.42578125" hidden="1" customWidth="1"/>
    <col min="23" max="23" width="7.140625" customWidth="1"/>
    <col min="24" max="24" width="6.85546875" customWidth="1"/>
    <col min="25" max="26" width="6.85546875" hidden="1" customWidth="1"/>
    <col min="27" max="27" width="7.140625" customWidth="1"/>
    <col min="28" max="28" width="5.28515625" customWidth="1"/>
    <col min="29" max="30" width="5.28515625" hidden="1" customWidth="1"/>
    <col min="31" max="31" width="5.7109375" customWidth="1"/>
    <col min="32" max="32" width="10.7109375" customWidth="1"/>
    <col min="33" max="34" width="10.7109375" hidden="1" customWidth="1"/>
    <col min="35" max="35" width="8.42578125" customWidth="1"/>
    <col min="36" max="36" width="0" hidden="1" customWidth="1"/>
  </cols>
  <sheetData>
    <row r="1" spans="1:35" ht="23.25" customHeight="1" x14ac:dyDescent="0.2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</row>
    <row r="2" spans="1:35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</row>
    <row r="3" spans="1:35" ht="18.75" x14ac:dyDescent="0.3">
      <c r="A3" s="10" t="s">
        <v>7</v>
      </c>
      <c r="B3" s="4"/>
      <c r="C3" s="4"/>
      <c r="D3" s="4"/>
      <c r="E3" s="4"/>
      <c r="F3" s="4"/>
      <c r="G3" s="5"/>
    </row>
    <row r="4" spans="1:35" ht="15.75" x14ac:dyDescent="0.25">
      <c r="A4" s="5"/>
      <c r="B4" s="87" t="s">
        <v>42</v>
      </c>
      <c r="C4" s="87"/>
      <c r="D4" s="87"/>
      <c r="E4" s="87"/>
      <c r="F4" s="87"/>
      <c r="G4" s="87"/>
    </row>
    <row r="5" spans="1:35" ht="15.75" x14ac:dyDescent="0.25">
      <c r="A5" s="5"/>
      <c r="B5" s="26"/>
      <c r="C5" s="26"/>
      <c r="D5" s="26"/>
      <c r="E5" s="26"/>
      <c r="F5" s="26"/>
      <c r="G5" s="26"/>
    </row>
    <row r="6" spans="1:35" s="2" customFormat="1" ht="18.75" x14ac:dyDescent="0.3">
      <c r="A6" s="6"/>
      <c r="B6" s="6"/>
      <c r="C6" s="6"/>
      <c r="D6" s="6"/>
      <c r="E6" s="6"/>
      <c r="F6" s="6"/>
      <c r="G6" s="6"/>
      <c r="J6" s="12" t="s">
        <v>1</v>
      </c>
      <c r="L6" s="12" t="s">
        <v>2</v>
      </c>
      <c r="M6" s="6"/>
      <c r="N6" s="12" t="s">
        <v>3</v>
      </c>
      <c r="O6" s="6"/>
      <c r="P6" s="12" t="s">
        <v>4</v>
      </c>
      <c r="Q6" s="6"/>
      <c r="R6" s="6"/>
      <c r="S6" s="12" t="s">
        <v>5</v>
      </c>
    </row>
    <row r="7" spans="1:35" ht="15.75" customHeight="1" x14ac:dyDescent="0.25">
      <c r="A7" s="5"/>
      <c r="B7" s="5"/>
      <c r="C7" s="5"/>
      <c r="D7" s="5"/>
      <c r="E7" s="5"/>
      <c r="F7" s="5"/>
      <c r="G7" s="5"/>
      <c r="H7" s="5"/>
      <c r="I7" s="5"/>
      <c r="J7" s="7"/>
      <c r="K7" s="5"/>
      <c r="L7" s="1"/>
      <c r="M7" s="1"/>
      <c r="N7" s="5"/>
      <c r="O7" s="1"/>
      <c r="P7" s="5"/>
      <c r="Q7" s="1"/>
      <c r="R7" s="1"/>
      <c r="S7" s="5"/>
    </row>
    <row r="8" spans="1:35" ht="15.75" x14ac:dyDescent="0.25">
      <c r="A8" s="5"/>
      <c r="B8" s="5"/>
      <c r="C8" s="5"/>
      <c r="D8" s="5"/>
      <c r="E8" s="5"/>
      <c r="F8" s="5"/>
      <c r="G8" s="5"/>
      <c r="H8" s="5"/>
      <c r="I8" s="5"/>
      <c r="K8" s="33"/>
      <c r="L8" s="5"/>
      <c r="M8" s="33"/>
      <c r="N8" s="5"/>
      <c r="O8" s="33"/>
      <c r="P8" s="5"/>
      <c r="Q8" s="33"/>
      <c r="R8" s="28"/>
      <c r="S8" s="5"/>
    </row>
    <row r="9" spans="1:35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35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35" ht="15.75" x14ac:dyDescent="0.25">
      <c r="A11" s="25" t="s">
        <v>75</v>
      </c>
      <c r="B11" s="9" t="s">
        <v>24</v>
      </c>
      <c r="C11" s="85"/>
      <c r="D11" s="85"/>
      <c r="E11" s="23" t="s">
        <v>2</v>
      </c>
      <c r="F11" s="24" t="s">
        <v>24</v>
      </c>
      <c r="G11" s="47"/>
      <c r="I11" s="23" t="s">
        <v>3</v>
      </c>
      <c r="J11" s="24" t="s">
        <v>24</v>
      </c>
      <c r="K11" s="85"/>
      <c r="L11" s="85"/>
      <c r="M11" s="23" t="s">
        <v>4</v>
      </c>
      <c r="N11" s="24" t="s">
        <v>24</v>
      </c>
      <c r="O11" s="85"/>
      <c r="P11" s="85"/>
      <c r="Q11" s="25" t="s">
        <v>5</v>
      </c>
      <c r="R11" s="5"/>
      <c r="S11" s="5"/>
    </row>
    <row r="12" spans="1:35" ht="15.75" x14ac:dyDescent="0.25">
      <c r="A12" s="5"/>
      <c r="B12" s="5"/>
      <c r="C12" s="5"/>
      <c r="E12" s="25" t="s">
        <v>72</v>
      </c>
      <c r="F12" s="9" t="s">
        <v>24</v>
      </c>
      <c r="G12" s="33"/>
      <c r="I12" s="25" t="s">
        <v>3</v>
      </c>
      <c r="J12" s="9" t="s">
        <v>24</v>
      </c>
      <c r="K12" s="89"/>
      <c r="L12" s="89"/>
      <c r="M12" s="23" t="s">
        <v>4</v>
      </c>
      <c r="N12" s="9" t="s">
        <v>24</v>
      </c>
      <c r="O12" s="89"/>
      <c r="P12" s="89"/>
      <c r="Q12" s="23" t="s">
        <v>5</v>
      </c>
      <c r="R12" s="5"/>
      <c r="S12" s="5"/>
    </row>
    <row r="13" spans="1:35" ht="15.75" x14ac:dyDescent="0.25">
      <c r="A13" s="5"/>
      <c r="B13" s="5"/>
      <c r="C13" s="5"/>
      <c r="E13" s="25"/>
      <c r="F13" s="25"/>
      <c r="G13" s="25"/>
      <c r="I13" s="25" t="s">
        <v>73</v>
      </c>
      <c r="J13" s="9" t="s">
        <v>24</v>
      </c>
      <c r="K13" s="89"/>
      <c r="L13" s="89"/>
      <c r="M13" s="23" t="s">
        <v>4</v>
      </c>
      <c r="N13" s="9" t="s">
        <v>24</v>
      </c>
      <c r="O13" s="89"/>
      <c r="P13" s="89"/>
      <c r="Q13" s="23" t="s">
        <v>5</v>
      </c>
      <c r="R13" s="5"/>
      <c r="S13" s="5"/>
    </row>
    <row r="14" spans="1:35" ht="15.75" x14ac:dyDescent="0.25">
      <c r="A14" s="5"/>
      <c r="B14" s="5"/>
      <c r="C14" s="5"/>
      <c r="E14" s="5"/>
      <c r="F14" s="5"/>
      <c r="G14" s="5"/>
      <c r="I14" s="5"/>
      <c r="J14" s="5"/>
      <c r="K14" s="5"/>
      <c r="L14" s="5"/>
      <c r="M14" s="23" t="s">
        <v>74</v>
      </c>
      <c r="N14" s="9" t="s">
        <v>24</v>
      </c>
      <c r="O14" s="89"/>
      <c r="P14" s="89"/>
      <c r="Q14" s="23" t="s">
        <v>5</v>
      </c>
      <c r="R14" s="5"/>
      <c r="S14" s="5"/>
    </row>
    <row r="15" spans="1:35" ht="15.75" x14ac:dyDescent="0.25"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35" ht="18.75" x14ac:dyDescent="0.3">
      <c r="A16" s="10" t="s">
        <v>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37" ht="15.75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37" ht="15.75" x14ac:dyDescent="0.25">
      <c r="A18" s="88" t="s">
        <v>23</v>
      </c>
      <c r="B18" s="88"/>
      <c r="C18" s="88"/>
      <c r="D18" s="88"/>
      <c r="E18" s="88"/>
      <c r="F18" s="88"/>
      <c r="G18" s="34">
        <v>67</v>
      </c>
      <c r="J18" s="27"/>
      <c r="K18" s="5"/>
      <c r="L18" s="88" t="s">
        <v>43</v>
      </c>
      <c r="M18" s="88"/>
      <c r="N18" s="88"/>
      <c r="O18" s="88"/>
      <c r="P18" s="88"/>
      <c r="Q18" s="88"/>
      <c r="R18" s="88"/>
      <c r="S18" s="88"/>
      <c r="T18" s="34">
        <v>3</v>
      </c>
    </row>
    <row r="19" spans="1:37" ht="15.75" x14ac:dyDescent="0.25">
      <c r="A19" s="5"/>
      <c r="B19" s="5"/>
      <c r="C19" s="5"/>
      <c r="D19" s="5"/>
      <c r="E19" s="5"/>
      <c r="F19" s="5"/>
      <c r="G19" s="5"/>
      <c r="H19" s="5"/>
      <c r="I19" s="39" t="s">
        <v>45</v>
      </c>
      <c r="J19" s="27"/>
      <c r="K19" s="5"/>
      <c r="L19" s="5"/>
      <c r="M19" s="5"/>
      <c r="N19" s="5"/>
      <c r="O19" s="5"/>
      <c r="P19" s="5"/>
      <c r="Q19" s="5"/>
      <c r="R19" s="5"/>
      <c r="S19" s="5"/>
      <c r="T19" s="3"/>
      <c r="U19" s="3"/>
      <c r="AK19" s="39" t="s">
        <v>45</v>
      </c>
    </row>
    <row r="20" spans="1:37" ht="18.75" x14ac:dyDescent="0.3">
      <c r="A20" s="11" t="s">
        <v>8</v>
      </c>
      <c r="B20" s="8">
        <f>$G$18+75.7</f>
        <v>142.69999999999999</v>
      </c>
      <c r="C20" s="8" t="s">
        <v>1</v>
      </c>
      <c r="D20" s="9" t="s">
        <v>24</v>
      </c>
      <c r="E20" s="90"/>
      <c r="F20" s="90"/>
      <c r="G20" s="8" t="s">
        <v>2</v>
      </c>
      <c r="H20">
        <f>B20*1000</f>
        <v>142700</v>
      </c>
      <c r="I20" s="38" t="str">
        <f t="shared" ref="I20:I37" si="0">IF(E20="","x",IF(E20=H20,"richtig","falsch"))</f>
        <v>x</v>
      </c>
      <c r="J20" s="27"/>
      <c r="L20" s="11" t="s">
        <v>26</v>
      </c>
      <c r="N20" s="23">
        <v>1</v>
      </c>
      <c r="O20" s="8" t="s">
        <v>1</v>
      </c>
      <c r="P20" s="23">
        <v>4</v>
      </c>
      <c r="Q20" s="8" t="s">
        <v>2</v>
      </c>
      <c r="R20" s="8"/>
      <c r="S20" s="23">
        <f>2+T18</f>
        <v>5</v>
      </c>
      <c r="T20" s="8" t="s">
        <v>3</v>
      </c>
      <c r="U20" s="8"/>
      <c r="V20" s="8"/>
      <c r="W20" s="23">
        <v>7</v>
      </c>
      <c r="X20" s="23" t="s">
        <v>4</v>
      </c>
      <c r="Y20" s="23"/>
      <c r="Z20" s="23"/>
      <c r="AA20" s="23">
        <v>5</v>
      </c>
      <c r="AB20" s="23" t="s">
        <v>5</v>
      </c>
      <c r="AC20" s="23"/>
      <c r="AD20" s="23"/>
      <c r="AE20" s="24" t="s">
        <v>24</v>
      </c>
      <c r="AF20" s="36"/>
      <c r="AG20" s="31"/>
      <c r="AH20" s="31"/>
      <c r="AI20" s="23" t="s">
        <v>3</v>
      </c>
      <c r="AJ20">
        <f>N20*10000+P20*10+S20+W20/10+AA20/100</f>
        <v>10045.75</v>
      </c>
      <c r="AK20" s="38" t="str">
        <f>IF(AF20="","x",IF(AF20=AJ20,"richtig","falsch"))</f>
        <v>x</v>
      </c>
    </row>
    <row r="21" spans="1:37" ht="18.75" x14ac:dyDescent="0.3">
      <c r="A21" s="11" t="s">
        <v>9</v>
      </c>
      <c r="B21" s="8">
        <f>$G$18+87.8</f>
        <v>154.80000000000001</v>
      </c>
      <c r="C21" s="8" t="s">
        <v>3</v>
      </c>
      <c r="D21" s="9" t="s">
        <v>24</v>
      </c>
      <c r="E21" s="92"/>
      <c r="F21" s="92"/>
      <c r="G21" s="8" t="s">
        <v>5</v>
      </c>
      <c r="H21">
        <f>B21*100</f>
        <v>15480.000000000002</v>
      </c>
      <c r="I21" s="38" t="str">
        <f t="shared" si="0"/>
        <v>x</v>
      </c>
      <c r="J21" s="27"/>
      <c r="L21" s="11" t="s">
        <v>27</v>
      </c>
      <c r="N21" s="8">
        <f>4+T18</f>
        <v>7</v>
      </c>
      <c r="O21" s="8" t="s">
        <v>1</v>
      </c>
      <c r="P21" s="8">
        <v>52</v>
      </c>
      <c r="Q21" s="8" t="s">
        <v>2</v>
      </c>
      <c r="R21" s="8"/>
      <c r="S21" s="8">
        <v>9</v>
      </c>
      <c r="T21" s="8" t="s">
        <v>3</v>
      </c>
      <c r="U21" s="8"/>
      <c r="V21" s="8"/>
      <c r="W21" s="23">
        <v>1</v>
      </c>
      <c r="X21" s="23" t="s">
        <v>4</v>
      </c>
      <c r="Y21" s="23"/>
      <c r="Z21" s="23"/>
      <c r="AA21" s="23">
        <v>6</v>
      </c>
      <c r="AB21" s="23" t="s">
        <v>5</v>
      </c>
      <c r="AC21" s="23"/>
      <c r="AD21" s="23"/>
      <c r="AE21" s="24" t="s">
        <v>24</v>
      </c>
      <c r="AF21" s="36"/>
      <c r="AG21" s="31"/>
      <c r="AH21" s="31"/>
      <c r="AI21" s="23" t="s">
        <v>2</v>
      </c>
      <c r="AJ21">
        <f>N21*1000+P21+S21/10+W21/100+AA21/1000</f>
        <v>7052.9160000000002</v>
      </c>
      <c r="AK21" s="38" t="str">
        <f t="shared" ref="AK21:AK27" si="1">IF(AF21="","x",IF(AF21=AJ21,"richtig","falsch"))</f>
        <v>x</v>
      </c>
    </row>
    <row r="22" spans="1:37" ht="18.75" x14ac:dyDescent="0.3">
      <c r="A22" s="11" t="s">
        <v>10</v>
      </c>
      <c r="B22" s="8">
        <f>$G$18+36.4</f>
        <v>103.4</v>
      </c>
      <c r="C22" s="8" t="s">
        <v>4</v>
      </c>
      <c r="D22" s="9" t="s">
        <v>24</v>
      </c>
      <c r="E22" s="92"/>
      <c r="F22" s="92"/>
      <c r="G22" s="8" t="s">
        <v>5</v>
      </c>
      <c r="H22">
        <f>B22*10</f>
        <v>1034</v>
      </c>
      <c r="I22" s="38" t="str">
        <f t="shared" si="0"/>
        <v>x</v>
      </c>
      <c r="J22" s="27"/>
      <c r="L22" s="11" t="s">
        <v>28</v>
      </c>
      <c r="N22" s="8">
        <v>0</v>
      </c>
      <c r="O22" s="8" t="s">
        <v>1</v>
      </c>
      <c r="P22" s="8">
        <v>2</v>
      </c>
      <c r="Q22" s="8" t="s">
        <v>2</v>
      </c>
      <c r="R22" s="8"/>
      <c r="S22" s="8">
        <v>7</v>
      </c>
      <c r="T22" s="8" t="s">
        <v>3</v>
      </c>
      <c r="U22" s="8"/>
      <c r="V22" s="8"/>
      <c r="W22" s="23">
        <f>1+T18</f>
        <v>4</v>
      </c>
      <c r="X22" s="23" t="s">
        <v>4</v>
      </c>
      <c r="Y22" s="23"/>
      <c r="Z22" s="23"/>
      <c r="AA22" s="23">
        <v>9</v>
      </c>
      <c r="AB22" s="23" t="s">
        <v>5</v>
      </c>
      <c r="AC22" s="23"/>
      <c r="AD22" s="23"/>
      <c r="AE22" s="24" t="s">
        <v>24</v>
      </c>
      <c r="AF22" s="36"/>
      <c r="AG22" s="31"/>
      <c r="AH22" s="31"/>
      <c r="AI22" s="23" t="s">
        <v>4</v>
      </c>
      <c r="AJ22">
        <f>P22*100+S22*10+W22+AA22/10</f>
        <v>274.89999999999998</v>
      </c>
      <c r="AK22" s="38" t="str">
        <f t="shared" si="1"/>
        <v>x</v>
      </c>
    </row>
    <row r="23" spans="1:37" ht="18.75" x14ac:dyDescent="0.3">
      <c r="A23" s="11" t="s">
        <v>11</v>
      </c>
      <c r="B23" s="8">
        <f>$G$18+68.3</f>
        <v>135.30000000000001</v>
      </c>
      <c r="C23" s="8" t="s">
        <v>2</v>
      </c>
      <c r="D23" s="9" t="s">
        <v>24</v>
      </c>
      <c r="E23" s="92"/>
      <c r="F23" s="92"/>
      <c r="G23" s="8" t="s">
        <v>3</v>
      </c>
      <c r="H23">
        <f>B23*10</f>
        <v>1353</v>
      </c>
      <c r="I23" s="38" t="str">
        <f t="shared" si="0"/>
        <v>x</v>
      </c>
      <c r="J23" s="27"/>
      <c r="L23" s="11" t="s">
        <v>29</v>
      </c>
      <c r="N23" s="8">
        <v>0</v>
      </c>
      <c r="O23" s="8" t="s">
        <v>1</v>
      </c>
      <c r="P23" s="8">
        <v>3</v>
      </c>
      <c r="Q23" s="8" t="s">
        <v>2</v>
      </c>
      <c r="R23" s="8"/>
      <c r="S23" s="8">
        <v>3</v>
      </c>
      <c r="T23" s="8" t="s">
        <v>3</v>
      </c>
      <c r="U23" s="8"/>
      <c r="V23" s="8"/>
      <c r="W23" s="23">
        <v>3</v>
      </c>
      <c r="X23" s="23" t="s">
        <v>4</v>
      </c>
      <c r="Y23" s="23"/>
      <c r="Z23" s="23"/>
      <c r="AA23" s="23">
        <f>2+T18</f>
        <v>5</v>
      </c>
      <c r="AB23" s="23" t="s">
        <v>5</v>
      </c>
      <c r="AC23" s="23"/>
      <c r="AD23" s="23"/>
      <c r="AE23" s="24" t="s">
        <v>24</v>
      </c>
      <c r="AF23" s="36"/>
      <c r="AG23" s="31"/>
      <c r="AH23" s="31"/>
      <c r="AI23" s="23" t="s">
        <v>5</v>
      </c>
      <c r="AJ23">
        <f>P23*1000+S23*100+W23*10+AA23</f>
        <v>3335</v>
      </c>
      <c r="AK23" s="38" t="str">
        <f t="shared" si="1"/>
        <v>x</v>
      </c>
    </row>
    <row r="24" spans="1:37" ht="18.75" x14ac:dyDescent="0.3">
      <c r="A24" s="11" t="s">
        <v>12</v>
      </c>
      <c r="B24" s="8">
        <f>$G$18+27.9</f>
        <v>94.9</v>
      </c>
      <c r="C24" s="8" t="s">
        <v>2</v>
      </c>
      <c r="D24" s="9" t="s">
        <v>24</v>
      </c>
      <c r="E24" s="92"/>
      <c r="F24" s="92"/>
      <c r="G24" s="8" t="s">
        <v>4</v>
      </c>
      <c r="H24">
        <f>B24*100</f>
        <v>9490</v>
      </c>
      <c r="I24" s="38" t="str">
        <f t="shared" si="0"/>
        <v>x</v>
      </c>
      <c r="J24" s="27"/>
      <c r="L24" s="11" t="s">
        <v>30</v>
      </c>
      <c r="N24" s="8">
        <v>4</v>
      </c>
      <c r="O24" s="8" t="s">
        <v>1</v>
      </c>
      <c r="P24" s="8">
        <f>341+T18</f>
        <v>344</v>
      </c>
      <c r="Q24" s="8" t="s">
        <v>2</v>
      </c>
      <c r="R24" s="8"/>
      <c r="S24" s="8">
        <v>6</v>
      </c>
      <c r="T24" s="8" t="s">
        <v>3</v>
      </c>
      <c r="U24" s="8"/>
      <c r="V24" s="8"/>
      <c r="W24" s="23">
        <v>9</v>
      </c>
      <c r="X24" s="23" t="s">
        <v>4</v>
      </c>
      <c r="Y24" s="23"/>
      <c r="Z24" s="23"/>
      <c r="AA24" s="23">
        <v>7</v>
      </c>
      <c r="AB24" s="23" t="s">
        <v>5</v>
      </c>
      <c r="AC24" s="23"/>
      <c r="AD24" s="23"/>
      <c r="AE24" s="24" t="s">
        <v>24</v>
      </c>
      <c r="AF24" s="36"/>
      <c r="AG24" s="31"/>
      <c r="AH24" s="31"/>
      <c r="AI24" s="23" t="s">
        <v>1</v>
      </c>
      <c r="AJ24">
        <f>N24+P24/1000+S24/10000+W24/100000+AA24/1000000</f>
        <v>4.3446970000000009</v>
      </c>
      <c r="AK24" s="38" t="str">
        <f t="shared" si="1"/>
        <v>x</v>
      </c>
    </row>
    <row r="25" spans="1:37" ht="18.75" x14ac:dyDescent="0.3">
      <c r="A25" s="11" t="s">
        <v>13</v>
      </c>
      <c r="B25" s="8">
        <f>$G$18+43.6</f>
        <v>110.6</v>
      </c>
      <c r="C25" s="8" t="s">
        <v>3</v>
      </c>
      <c r="D25" s="9" t="s">
        <v>24</v>
      </c>
      <c r="E25" s="92"/>
      <c r="F25" s="92"/>
      <c r="G25" s="8" t="s">
        <v>4</v>
      </c>
      <c r="H25">
        <f>B25*10</f>
        <v>1106</v>
      </c>
      <c r="I25" s="38" t="str">
        <f t="shared" si="0"/>
        <v>x</v>
      </c>
      <c r="J25" s="27"/>
      <c r="L25" s="11" t="s">
        <v>31</v>
      </c>
      <c r="N25" s="8">
        <f>3+T18</f>
        <v>6</v>
      </c>
      <c r="O25" s="8" t="s">
        <v>1</v>
      </c>
      <c r="P25" s="8">
        <v>87</v>
      </c>
      <c r="Q25" s="8" t="s">
        <v>2</v>
      </c>
      <c r="R25" s="8"/>
      <c r="S25" s="8">
        <v>9</v>
      </c>
      <c r="T25" s="8" t="s">
        <v>3</v>
      </c>
      <c r="U25" s="8"/>
      <c r="V25" s="8"/>
      <c r="W25" s="23">
        <v>2</v>
      </c>
      <c r="X25" s="23" t="s">
        <v>4</v>
      </c>
      <c r="Y25" s="23"/>
      <c r="Z25" s="23"/>
      <c r="AA25" s="23">
        <v>3</v>
      </c>
      <c r="AB25" s="23" t="s">
        <v>5</v>
      </c>
      <c r="AC25" s="23"/>
      <c r="AD25" s="23"/>
      <c r="AE25" s="24" t="s">
        <v>24</v>
      </c>
      <c r="AF25" s="36"/>
      <c r="AG25" s="31"/>
      <c r="AH25" s="31"/>
      <c r="AI25" s="23" t="s">
        <v>3</v>
      </c>
      <c r="AJ25">
        <f>N25*10000+P25*10+S25+W25/10+AA25/100</f>
        <v>60879.229999999996</v>
      </c>
      <c r="AK25" s="38" t="str">
        <f t="shared" si="1"/>
        <v>x</v>
      </c>
    </row>
    <row r="26" spans="1:37" ht="18.75" x14ac:dyDescent="0.3">
      <c r="A26" s="11" t="s">
        <v>14</v>
      </c>
      <c r="B26" s="8">
        <f>$G$18+15.2</f>
        <v>82.2</v>
      </c>
      <c r="C26" s="8" t="s">
        <v>2</v>
      </c>
      <c r="D26" s="9" t="s">
        <v>24</v>
      </c>
      <c r="E26" s="92"/>
      <c r="F26" s="92"/>
      <c r="G26" s="8" t="s">
        <v>5</v>
      </c>
      <c r="H26">
        <f>B26*1000</f>
        <v>82200</v>
      </c>
      <c r="I26" s="38" t="str">
        <f t="shared" si="0"/>
        <v>x</v>
      </c>
      <c r="J26" s="27"/>
      <c r="L26" s="11" t="s">
        <v>32</v>
      </c>
      <c r="N26" s="8">
        <v>7</v>
      </c>
      <c r="O26" s="8" t="s">
        <v>1</v>
      </c>
      <c r="P26" s="8">
        <f>891+T18</f>
        <v>894</v>
      </c>
      <c r="Q26" s="8" t="s">
        <v>2</v>
      </c>
      <c r="R26" s="8"/>
      <c r="S26" s="8">
        <v>6</v>
      </c>
      <c r="T26" s="8" t="s">
        <v>3</v>
      </c>
      <c r="U26" s="8"/>
      <c r="V26" s="8"/>
      <c r="W26" s="23">
        <v>5</v>
      </c>
      <c r="X26" s="23" t="s">
        <v>4</v>
      </c>
      <c r="Y26" s="23"/>
      <c r="Z26" s="23"/>
      <c r="AA26" s="23">
        <v>2</v>
      </c>
      <c r="AB26" s="23" t="s">
        <v>5</v>
      </c>
      <c r="AC26" s="23"/>
      <c r="AD26" s="23"/>
      <c r="AE26" s="24" t="s">
        <v>24</v>
      </c>
      <c r="AF26" s="36"/>
      <c r="AG26" s="31"/>
      <c r="AH26" s="31"/>
      <c r="AI26" s="23" t="s">
        <v>2</v>
      </c>
      <c r="AJ26">
        <f>N26*1000+P26+S26/10+W26/100+AA26/1000</f>
        <v>7894.652000000001</v>
      </c>
      <c r="AK26" s="38" t="str">
        <f t="shared" si="1"/>
        <v>x</v>
      </c>
    </row>
    <row r="27" spans="1:37" ht="18.75" x14ac:dyDescent="0.3">
      <c r="A27" s="11" t="s">
        <v>15</v>
      </c>
      <c r="B27" s="8">
        <f>$G$18+5.4</f>
        <v>72.400000000000006</v>
      </c>
      <c r="C27" s="8" t="s">
        <v>1</v>
      </c>
      <c r="D27" s="9" t="s">
        <v>24</v>
      </c>
      <c r="E27" s="92"/>
      <c r="F27" s="92"/>
      <c r="G27" s="8" t="s">
        <v>4</v>
      </c>
      <c r="H27">
        <f>B27*100000</f>
        <v>7240000.0000000009</v>
      </c>
      <c r="I27" s="38" t="str">
        <f t="shared" si="0"/>
        <v>x</v>
      </c>
      <c r="J27" s="27"/>
      <c r="L27" s="11" t="s">
        <v>33</v>
      </c>
      <c r="N27" s="8">
        <v>2</v>
      </c>
      <c r="O27" s="8" t="s">
        <v>1</v>
      </c>
      <c r="P27" s="8">
        <v>8</v>
      </c>
      <c r="Q27" s="8" t="s">
        <v>2</v>
      </c>
      <c r="R27" s="8"/>
      <c r="S27" s="8">
        <v>9</v>
      </c>
      <c r="T27" s="8" t="s">
        <v>3</v>
      </c>
      <c r="U27" s="8"/>
      <c r="V27" s="8"/>
      <c r="W27" s="23">
        <f>4+T18</f>
        <v>7</v>
      </c>
      <c r="X27" s="23" t="s">
        <v>4</v>
      </c>
      <c r="Y27" s="23"/>
      <c r="Z27" s="23"/>
      <c r="AA27" s="23">
        <v>6</v>
      </c>
      <c r="AB27" s="23" t="s">
        <v>5</v>
      </c>
      <c r="AC27" s="23"/>
      <c r="AD27" s="23"/>
      <c r="AE27" s="24" t="s">
        <v>24</v>
      </c>
      <c r="AF27" s="36"/>
      <c r="AG27" s="31"/>
      <c r="AH27" s="31"/>
      <c r="AI27" s="23" t="s">
        <v>5</v>
      </c>
      <c r="AJ27">
        <f>N27*1000000+P27*1000+S27*100+W27*10+AA27</f>
        <v>2008976</v>
      </c>
      <c r="AK27" s="38" t="str">
        <f t="shared" si="1"/>
        <v>x</v>
      </c>
    </row>
    <row r="28" spans="1:37" ht="18.75" x14ac:dyDescent="0.3">
      <c r="A28" s="16"/>
      <c r="B28" s="17"/>
      <c r="C28" s="17"/>
      <c r="D28" s="18"/>
      <c r="E28" s="17"/>
      <c r="F28" s="17"/>
      <c r="G28" s="21"/>
      <c r="H28" s="5"/>
      <c r="I28" s="5"/>
      <c r="J28" s="27"/>
      <c r="K28" s="14"/>
      <c r="L28" s="21"/>
      <c r="M28" s="21"/>
      <c r="N28" s="21"/>
      <c r="O28" s="21"/>
      <c r="P28" s="21"/>
      <c r="Q28" s="21"/>
      <c r="R28" s="21"/>
      <c r="S28" s="21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</row>
    <row r="29" spans="1:37" ht="18.75" x14ac:dyDescent="0.3">
      <c r="A29" s="11"/>
      <c r="B29" s="8"/>
      <c r="C29" s="8"/>
      <c r="D29" s="9"/>
      <c r="E29" s="8"/>
      <c r="F29" s="8"/>
      <c r="G29" s="13"/>
      <c r="H29" s="5"/>
      <c r="I29" s="5"/>
      <c r="J29" s="27"/>
      <c r="K29" s="14"/>
      <c r="L29" s="5"/>
      <c r="M29" s="5"/>
      <c r="N29" s="5"/>
      <c r="O29" s="5"/>
      <c r="P29" s="5"/>
      <c r="Q29" s="5"/>
      <c r="R29" s="5"/>
      <c r="S29" s="5"/>
    </row>
    <row r="30" spans="1:37" ht="18.75" x14ac:dyDescent="0.3">
      <c r="A30" s="14" t="s">
        <v>16</v>
      </c>
      <c r="B30" s="15">
        <f>$G$18+245</f>
        <v>312</v>
      </c>
      <c r="C30" s="15" t="s">
        <v>4</v>
      </c>
      <c r="D30" s="20" t="s">
        <v>24</v>
      </c>
      <c r="E30" s="90"/>
      <c r="F30" s="90"/>
      <c r="G30" s="15" t="s">
        <v>2</v>
      </c>
      <c r="H30">
        <f>B30/100</f>
        <v>3.12</v>
      </c>
      <c r="I30" s="38" t="str">
        <f t="shared" si="0"/>
        <v>x</v>
      </c>
      <c r="J30" s="27"/>
      <c r="L30" s="11" t="s">
        <v>34</v>
      </c>
      <c r="M30" s="91">
        <f>24.3221+T18</f>
        <v>27.322099999999999</v>
      </c>
      <c r="N30" s="91"/>
      <c r="O30" s="8" t="s">
        <v>1</v>
      </c>
      <c r="P30" s="9" t="s">
        <v>24</v>
      </c>
      <c r="Q30" s="37"/>
      <c r="R30" s="30">
        <f>TRUNC(M30,0)</f>
        <v>27</v>
      </c>
      <c r="S30" s="8" t="s">
        <v>1</v>
      </c>
      <c r="T30" s="37"/>
      <c r="U30" s="30">
        <f>TRUNC(M30*1000-R30*1000)</f>
        <v>322</v>
      </c>
      <c r="V30" s="30">
        <f t="shared" ref="V30:V36" si="2">TRUNC(U30,0)</f>
        <v>322</v>
      </c>
      <c r="W30" s="8" t="s">
        <v>2</v>
      </c>
      <c r="X30" s="36"/>
      <c r="Y30" s="31">
        <f>M30*10000-R30*10000-U30*10</f>
        <v>1</v>
      </c>
      <c r="Z30" s="31">
        <f t="shared" ref="Z30:Z35" si="3">TRUNC(Y30,0)</f>
        <v>1</v>
      </c>
      <c r="AA30" s="8" t="s">
        <v>3</v>
      </c>
      <c r="AB30" s="36"/>
      <c r="AC30" s="31"/>
      <c r="AD30" s="31"/>
      <c r="AE30" s="8" t="s">
        <v>4</v>
      </c>
      <c r="AF30" s="36"/>
      <c r="AG30" s="31"/>
      <c r="AH30" s="31"/>
      <c r="AI30" s="8" t="s">
        <v>5</v>
      </c>
    </row>
    <row r="31" spans="1:37" ht="18.75" x14ac:dyDescent="0.3">
      <c r="A31" s="11" t="s">
        <v>17</v>
      </c>
      <c r="B31" s="8">
        <f>$G$18+66</f>
        <v>133</v>
      </c>
      <c r="C31" s="8" t="s">
        <v>3</v>
      </c>
      <c r="D31" s="9" t="s">
        <v>24</v>
      </c>
      <c r="E31" s="90"/>
      <c r="F31" s="90"/>
      <c r="G31" s="8" t="s">
        <v>2</v>
      </c>
      <c r="H31">
        <f>B31/10</f>
        <v>13.3</v>
      </c>
      <c r="I31" s="38" t="str">
        <f t="shared" si="0"/>
        <v>x</v>
      </c>
      <c r="J31" s="27"/>
      <c r="L31" s="11" t="s">
        <v>35</v>
      </c>
      <c r="M31" s="91">
        <f>4.99+T18</f>
        <v>7.99</v>
      </c>
      <c r="N31" s="91"/>
      <c r="O31" s="8" t="s">
        <v>2</v>
      </c>
      <c r="P31" s="9" t="s">
        <v>24</v>
      </c>
      <c r="Q31" s="36"/>
      <c r="R31" s="31">
        <f>TRUNC(M31/1000,0)</f>
        <v>0</v>
      </c>
      <c r="S31" s="8" t="s">
        <v>1</v>
      </c>
      <c r="T31" s="36"/>
      <c r="U31" s="31">
        <f>TRUNC(M31-R31*1000,0)</f>
        <v>7</v>
      </c>
      <c r="V31" s="31">
        <f t="shared" si="2"/>
        <v>7</v>
      </c>
      <c r="W31" s="8" t="s">
        <v>2</v>
      </c>
      <c r="X31" s="36"/>
      <c r="Y31" s="31">
        <f>M31*10-Q31*10000-T31*10</f>
        <v>79.900000000000006</v>
      </c>
      <c r="Z31" s="31">
        <f t="shared" si="3"/>
        <v>79</v>
      </c>
      <c r="AA31" s="8" t="s">
        <v>3</v>
      </c>
      <c r="AB31" s="36"/>
      <c r="AC31" s="31">
        <f>M31*100-Q31*100000-T31*100-X31*10</f>
        <v>799</v>
      </c>
      <c r="AD31" s="31">
        <f>TRUNC(AC31,0)</f>
        <v>799</v>
      </c>
      <c r="AE31" s="8" t="s">
        <v>4</v>
      </c>
      <c r="AF31" s="36"/>
      <c r="AG31" s="31"/>
      <c r="AH31" s="31"/>
      <c r="AI31" s="8" t="s">
        <v>5</v>
      </c>
    </row>
    <row r="32" spans="1:37" ht="18.75" x14ac:dyDescent="0.3">
      <c r="A32" s="11" t="s">
        <v>18</v>
      </c>
      <c r="B32" s="8">
        <f>$G$18+1540</f>
        <v>1607</v>
      </c>
      <c r="C32" s="8" t="s">
        <v>2</v>
      </c>
      <c r="D32" s="9" t="s">
        <v>24</v>
      </c>
      <c r="E32" s="90"/>
      <c r="F32" s="90"/>
      <c r="G32" s="8" t="s">
        <v>1</v>
      </c>
      <c r="H32">
        <f>B32/1000</f>
        <v>1.607</v>
      </c>
      <c r="I32" s="38" t="str">
        <f t="shared" si="0"/>
        <v>x</v>
      </c>
      <c r="J32" s="27"/>
      <c r="L32" s="11" t="s">
        <v>36</v>
      </c>
      <c r="M32" s="91">
        <f>41.6+T18</f>
        <v>44.6</v>
      </c>
      <c r="N32" s="91"/>
      <c r="O32" s="8" t="s">
        <v>3</v>
      </c>
      <c r="P32" s="9" t="s">
        <v>24</v>
      </c>
      <c r="Q32" s="36"/>
      <c r="R32" s="31"/>
      <c r="S32" s="8" t="s">
        <v>1</v>
      </c>
      <c r="T32" s="36"/>
      <c r="U32" s="31">
        <f>TRUNC((M32-Q32*1000)/10,0)</f>
        <v>4</v>
      </c>
      <c r="V32" s="31">
        <f t="shared" si="2"/>
        <v>4</v>
      </c>
      <c r="W32" s="8" t="s">
        <v>2</v>
      </c>
      <c r="X32" s="36"/>
      <c r="Y32" s="31">
        <f>TRUNC(M32-R32*10000-V32*10)</f>
        <v>4</v>
      </c>
      <c r="Z32" s="31">
        <f t="shared" si="3"/>
        <v>4</v>
      </c>
      <c r="AA32" s="8" t="s">
        <v>3</v>
      </c>
      <c r="AB32" s="36"/>
      <c r="AC32" s="31">
        <f>TRUNC(M32*10-R32*100000-V32*100-Z32*10)</f>
        <v>6</v>
      </c>
      <c r="AD32" s="31">
        <f>TRUNC(AC32,0)</f>
        <v>6</v>
      </c>
      <c r="AE32" s="8" t="s">
        <v>4</v>
      </c>
      <c r="AF32" s="36"/>
      <c r="AG32" s="31"/>
      <c r="AH32" s="31"/>
      <c r="AI32" s="8" t="s">
        <v>5</v>
      </c>
    </row>
    <row r="33" spans="1:35" ht="18.75" x14ac:dyDescent="0.3">
      <c r="A33" s="11" t="s">
        <v>19</v>
      </c>
      <c r="B33" s="8">
        <f>$G$18+23</f>
        <v>90</v>
      </c>
      <c r="C33" s="8" t="s">
        <v>5</v>
      </c>
      <c r="D33" s="9" t="s">
        <v>24</v>
      </c>
      <c r="E33" s="90"/>
      <c r="F33" s="90"/>
      <c r="G33" s="8" t="s">
        <v>4</v>
      </c>
      <c r="H33">
        <f>B33/10</f>
        <v>9</v>
      </c>
      <c r="I33" s="38" t="str">
        <f t="shared" si="0"/>
        <v>x</v>
      </c>
      <c r="J33" s="27"/>
      <c r="L33" s="11" t="s">
        <v>37</v>
      </c>
      <c r="M33" s="91">
        <f>2362.8+T18</f>
        <v>2365.8000000000002</v>
      </c>
      <c r="N33" s="91"/>
      <c r="O33" s="8" t="s">
        <v>4</v>
      </c>
      <c r="P33" s="9" t="s">
        <v>24</v>
      </c>
      <c r="Q33" s="36"/>
      <c r="R33" s="31"/>
      <c r="S33" s="8" t="s">
        <v>1</v>
      </c>
      <c r="T33" s="36"/>
      <c r="U33" s="31">
        <f>TRUNC((M33-R33*100000)/100)</f>
        <v>23</v>
      </c>
      <c r="V33" s="31">
        <f t="shared" si="2"/>
        <v>23</v>
      </c>
      <c r="W33" s="8" t="s">
        <v>2</v>
      </c>
      <c r="X33" s="36"/>
      <c r="Y33" s="31">
        <f>TRUNC((M33-R33*100000-V33*100)/10)</f>
        <v>6</v>
      </c>
      <c r="Z33" s="31">
        <f t="shared" si="3"/>
        <v>6</v>
      </c>
      <c r="AA33" s="8" t="s">
        <v>3</v>
      </c>
      <c r="AB33" s="36"/>
      <c r="AC33" s="31">
        <f>TRUNC(M33-R33*100000-V33*100-Z33*10)</f>
        <v>5</v>
      </c>
      <c r="AD33" s="31">
        <f>TRUNC(AC33,0)</f>
        <v>5</v>
      </c>
      <c r="AE33" s="8" t="s">
        <v>4</v>
      </c>
      <c r="AF33" s="36"/>
      <c r="AG33" s="31">
        <f>TRUNC(M33*10-R33*1000000-V33*1000-Z33*100-AD33*10)</f>
        <v>8</v>
      </c>
      <c r="AH33" s="31">
        <f>TRUNC(AG33,0)</f>
        <v>8</v>
      </c>
      <c r="AI33" s="8" t="s">
        <v>5</v>
      </c>
    </row>
    <row r="34" spans="1:35" ht="18.75" x14ac:dyDescent="0.3">
      <c r="A34" s="11" t="s">
        <v>20</v>
      </c>
      <c r="B34" s="8">
        <f>$G$18+188</f>
        <v>255</v>
      </c>
      <c r="C34" s="8" t="s">
        <v>4</v>
      </c>
      <c r="D34" s="9" t="s">
        <v>24</v>
      </c>
      <c r="E34" s="90"/>
      <c r="F34" s="90"/>
      <c r="G34" s="8" t="s">
        <v>3</v>
      </c>
      <c r="H34">
        <f>B34/10</f>
        <v>25.5</v>
      </c>
      <c r="I34" s="38" t="str">
        <f t="shared" si="0"/>
        <v>x</v>
      </c>
      <c r="J34" s="27"/>
      <c r="L34" s="11" t="s">
        <v>38</v>
      </c>
      <c r="M34" s="91">
        <f>9452+T18</f>
        <v>9455</v>
      </c>
      <c r="N34" s="91"/>
      <c r="O34" s="8" t="s">
        <v>5</v>
      </c>
      <c r="P34" s="9" t="s">
        <v>24</v>
      </c>
      <c r="Q34" s="36"/>
      <c r="R34" s="31"/>
      <c r="S34" s="8" t="s">
        <v>1</v>
      </c>
      <c r="T34" s="36"/>
      <c r="U34" s="31">
        <f>TRUNC((M34-R34*1000000)/1000)</f>
        <v>9</v>
      </c>
      <c r="V34" s="31">
        <f t="shared" si="2"/>
        <v>9</v>
      </c>
      <c r="W34" s="8" t="s">
        <v>2</v>
      </c>
      <c r="X34" s="36"/>
      <c r="Y34" s="31">
        <f>TRUNC((M34-R34*100000-V34*1000)/100)</f>
        <v>4</v>
      </c>
      <c r="Z34" s="31">
        <f t="shared" si="3"/>
        <v>4</v>
      </c>
      <c r="AA34" s="8" t="s">
        <v>3</v>
      </c>
      <c r="AB34" s="36"/>
      <c r="AC34" s="31">
        <f>TRUNC((M34-R34*100000-V34*1000-Z34*100)/10)</f>
        <v>5</v>
      </c>
      <c r="AD34" s="31">
        <f>TRUNC(AC34,0)</f>
        <v>5</v>
      </c>
      <c r="AE34" s="8" t="s">
        <v>4</v>
      </c>
      <c r="AF34" s="36"/>
      <c r="AG34" s="31">
        <f>TRUNC(M34-R34*1000000-V34*1000-Z34*100-AD34*10)</f>
        <v>5</v>
      </c>
      <c r="AH34" s="31">
        <f>TRUNC(AG34,0)</f>
        <v>5</v>
      </c>
      <c r="AI34" s="8" t="s">
        <v>5</v>
      </c>
    </row>
    <row r="35" spans="1:35" ht="18.75" x14ac:dyDescent="0.3">
      <c r="A35" s="11" t="s">
        <v>21</v>
      </c>
      <c r="B35" s="8">
        <f>$G$18+7643</f>
        <v>7710</v>
      </c>
      <c r="C35" s="8" t="s">
        <v>5</v>
      </c>
      <c r="D35" s="9" t="s">
        <v>24</v>
      </c>
      <c r="E35" s="90"/>
      <c r="F35" s="90"/>
      <c r="G35" s="8" t="s">
        <v>3</v>
      </c>
      <c r="H35">
        <f>B35/100</f>
        <v>77.099999999999994</v>
      </c>
      <c r="I35" s="38" t="str">
        <f t="shared" si="0"/>
        <v>x</v>
      </c>
      <c r="J35" s="27"/>
      <c r="L35" s="11" t="s">
        <v>39</v>
      </c>
      <c r="M35" s="91">
        <f>0.87+T18</f>
        <v>3.87</v>
      </c>
      <c r="N35" s="91"/>
      <c r="O35" s="8" t="s">
        <v>2</v>
      </c>
      <c r="P35" s="9" t="s">
        <v>24</v>
      </c>
      <c r="Q35" s="36"/>
      <c r="R35" s="31"/>
      <c r="S35" s="8" t="s">
        <v>1</v>
      </c>
      <c r="T35" s="36"/>
      <c r="U35" s="31">
        <f>TRUNC(M35-R35*1000)</f>
        <v>3</v>
      </c>
      <c r="V35" s="31">
        <f t="shared" si="2"/>
        <v>3</v>
      </c>
      <c r="W35" s="8" t="s">
        <v>2</v>
      </c>
      <c r="X35" s="36"/>
      <c r="Y35" s="31">
        <f>TRUNC(M35*10-R35*10000-V35*10)</f>
        <v>8</v>
      </c>
      <c r="Z35" s="31">
        <f t="shared" si="3"/>
        <v>8</v>
      </c>
      <c r="AA35" s="8" t="s">
        <v>3</v>
      </c>
      <c r="AB35" s="36"/>
      <c r="AC35" s="31">
        <f>TRUNC(M35*100-R35*100000-V35*100-Z35*10)</f>
        <v>7</v>
      </c>
      <c r="AD35" s="31">
        <f>TRUNC(AC35,0)</f>
        <v>7</v>
      </c>
      <c r="AE35" s="8" t="s">
        <v>4</v>
      </c>
      <c r="AF35" s="36"/>
      <c r="AG35" s="31"/>
      <c r="AH35" s="31"/>
      <c r="AI35" s="8" t="s">
        <v>5</v>
      </c>
    </row>
    <row r="36" spans="1:35" ht="18.75" x14ac:dyDescent="0.3">
      <c r="A36" s="11" t="s">
        <v>22</v>
      </c>
      <c r="B36" s="8">
        <f>$G$18+92573</f>
        <v>92640</v>
      </c>
      <c r="C36" s="8" t="s">
        <v>3</v>
      </c>
      <c r="D36" s="9" t="s">
        <v>24</v>
      </c>
      <c r="E36" s="90"/>
      <c r="F36" s="90"/>
      <c r="G36" s="8" t="s">
        <v>1</v>
      </c>
      <c r="H36">
        <f>B36/10000</f>
        <v>9.2639999999999993</v>
      </c>
      <c r="I36" s="38" t="str">
        <f t="shared" si="0"/>
        <v>x</v>
      </c>
      <c r="J36" s="27"/>
      <c r="L36" s="11" t="s">
        <v>40</v>
      </c>
      <c r="M36" s="91">
        <f>2.43+T18</f>
        <v>5.43</v>
      </c>
      <c r="N36" s="91"/>
      <c r="O36" s="8" t="s">
        <v>1</v>
      </c>
      <c r="P36" s="9" t="s">
        <v>24</v>
      </c>
      <c r="Q36" s="36"/>
      <c r="R36" s="31">
        <f>TRUNC(M36,0)</f>
        <v>5</v>
      </c>
      <c r="S36" s="8" t="s">
        <v>1</v>
      </c>
      <c r="T36" s="36"/>
      <c r="U36" s="31">
        <f>TRUNC(M36*1000-R36*1000)</f>
        <v>430</v>
      </c>
      <c r="V36" s="31">
        <f t="shared" si="2"/>
        <v>430</v>
      </c>
      <c r="W36" s="8" t="s">
        <v>2</v>
      </c>
      <c r="X36" s="36"/>
      <c r="Y36" s="31"/>
      <c r="Z36" s="31"/>
      <c r="AA36" s="8" t="s">
        <v>3</v>
      </c>
      <c r="AB36" s="36"/>
      <c r="AC36" s="31"/>
      <c r="AD36" s="31"/>
      <c r="AE36" s="8" t="s">
        <v>4</v>
      </c>
      <c r="AF36" s="36"/>
      <c r="AG36" s="31"/>
      <c r="AH36" s="31"/>
      <c r="AI36" s="8" t="s">
        <v>5</v>
      </c>
    </row>
    <row r="37" spans="1:35" ht="18.75" x14ac:dyDescent="0.3">
      <c r="A37" s="11" t="s">
        <v>25</v>
      </c>
      <c r="B37" s="8">
        <f>$G$18+58792</f>
        <v>58859</v>
      </c>
      <c r="C37" s="8" t="s">
        <v>5</v>
      </c>
      <c r="D37" s="9" t="s">
        <v>24</v>
      </c>
      <c r="E37" s="90"/>
      <c r="F37" s="90"/>
      <c r="G37" s="8" t="s">
        <v>2</v>
      </c>
      <c r="H37">
        <f>B37/1000</f>
        <v>58.859000000000002</v>
      </c>
      <c r="I37" s="38" t="str">
        <f t="shared" si="0"/>
        <v>x</v>
      </c>
      <c r="J37" s="27"/>
      <c r="L37" s="11" t="s">
        <v>41</v>
      </c>
      <c r="M37" s="91">
        <f>82.9+T18</f>
        <v>85.9</v>
      </c>
      <c r="N37" s="91"/>
      <c r="O37" s="8" t="s">
        <v>4</v>
      </c>
      <c r="P37" s="9" t="s">
        <v>24</v>
      </c>
      <c r="Q37" s="36"/>
      <c r="R37" s="31"/>
      <c r="S37" s="8" t="s">
        <v>1</v>
      </c>
      <c r="T37" s="36"/>
      <c r="U37" s="31"/>
      <c r="V37" s="31"/>
      <c r="W37" s="8" t="s">
        <v>2</v>
      </c>
      <c r="X37" s="36"/>
      <c r="Y37" s="31">
        <f>TRUNC((M37-R37*10000-V37*100)/10)</f>
        <v>8</v>
      </c>
      <c r="Z37" s="31">
        <f>TRUNC(Y37,0)</f>
        <v>8</v>
      </c>
      <c r="AA37" s="8" t="s">
        <v>3</v>
      </c>
      <c r="AB37" s="36"/>
      <c r="AC37" s="31">
        <f>TRUNC(M37-R37*100000-V37*100-Z37*10)</f>
        <v>5</v>
      </c>
      <c r="AD37" s="31">
        <f>TRUNC(AC37,0)</f>
        <v>5</v>
      </c>
      <c r="AE37" s="8" t="s">
        <v>4</v>
      </c>
      <c r="AF37" s="36"/>
      <c r="AG37" s="31">
        <f>TRUNC(M37*10-R37*1000000-V37*1000-Z37*100-AD37*10)</f>
        <v>9</v>
      </c>
      <c r="AH37" s="31">
        <f>TRUNC(AG37,0)</f>
        <v>9</v>
      </c>
      <c r="AI37" s="8" t="s">
        <v>5</v>
      </c>
    </row>
    <row r="38" spans="1:35" ht="18.75" x14ac:dyDescent="0.3">
      <c r="A38" s="11"/>
      <c r="B38" s="8"/>
      <c r="C38" s="8"/>
      <c r="D38" s="8"/>
      <c r="E38" s="8"/>
      <c r="F38" s="8"/>
      <c r="G38" s="5"/>
      <c r="H38" s="5"/>
      <c r="I38" s="5"/>
      <c r="J38" s="5"/>
      <c r="L38" s="5"/>
      <c r="N38" s="5"/>
      <c r="P38" s="93" t="s">
        <v>44</v>
      </c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</row>
    <row r="39" spans="1:35" ht="15.75" x14ac:dyDescent="0.25">
      <c r="A39" s="5"/>
      <c r="B39" s="5"/>
      <c r="C39" s="5"/>
      <c r="D39" s="5"/>
      <c r="E39" s="5"/>
      <c r="F39" s="5"/>
      <c r="G39" s="5"/>
      <c r="I39" s="5"/>
      <c r="J39" s="5"/>
      <c r="L39" s="5"/>
      <c r="M39" s="5"/>
      <c r="N39" s="32"/>
      <c r="O39" s="32"/>
    </row>
    <row r="40" spans="1:35" ht="18.75" x14ac:dyDescent="0.3">
      <c r="A40" s="10"/>
      <c r="B40" s="4"/>
      <c r="C40" s="4"/>
      <c r="D40" s="4"/>
      <c r="E40" s="4"/>
      <c r="F40" s="5"/>
      <c r="G40" s="5"/>
      <c r="H40" s="5"/>
      <c r="I40" s="5"/>
      <c r="J40" s="5"/>
      <c r="L40" s="5"/>
      <c r="M40" s="5"/>
      <c r="N40" s="5"/>
    </row>
    <row r="41" spans="1:35" ht="18.75" x14ac:dyDescent="0.3">
      <c r="A41" s="10"/>
      <c r="B41" s="5"/>
      <c r="C41" s="5"/>
      <c r="D41" s="5"/>
      <c r="E41" s="5"/>
      <c r="F41" s="5"/>
      <c r="G41" s="5"/>
      <c r="H41" s="5"/>
      <c r="I41" s="5"/>
      <c r="J41" s="5"/>
      <c r="L41" s="5"/>
      <c r="M41" s="5"/>
      <c r="N41" s="5"/>
    </row>
    <row r="42" spans="1:35" ht="15.75" x14ac:dyDescent="0.25">
      <c r="B42" s="5"/>
      <c r="C42" s="5"/>
      <c r="D42" s="5"/>
      <c r="E42" s="5"/>
      <c r="F42" s="5"/>
      <c r="G42" s="5"/>
      <c r="H42" s="5"/>
      <c r="I42" s="5"/>
      <c r="J42" s="5"/>
      <c r="L42" s="5"/>
      <c r="M42" s="5"/>
      <c r="N42" s="5"/>
    </row>
    <row r="43" spans="1:35" ht="18.75" x14ac:dyDescent="0.3">
      <c r="A43" s="11"/>
    </row>
    <row r="44" spans="1:35" ht="18.75" x14ac:dyDescent="0.3">
      <c r="A44" s="11"/>
    </row>
    <row r="45" spans="1:35" ht="18.75" x14ac:dyDescent="0.3">
      <c r="A45" s="11"/>
      <c r="P45" s="5"/>
      <c r="Q45" s="5"/>
      <c r="R45" s="5"/>
      <c r="S45" s="5"/>
    </row>
    <row r="46" spans="1:35" ht="18.75" x14ac:dyDescent="0.3">
      <c r="A46" s="11"/>
      <c r="P46" s="5"/>
      <c r="Q46" s="5"/>
      <c r="R46" s="5"/>
      <c r="S46" s="5"/>
    </row>
    <row r="47" spans="1:35" ht="18.75" x14ac:dyDescent="0.3">
      <c r="A47" s="11"/>
      <c r="P47" s="5"/>
      <c r="Q47" s="5"/>
      <c r="R47" s="5"/>
      <c r="S47" s="5"/>
    </row>
    <row r="48" spans="1:35" ht="18.75" x14ac:dyDescent="0.3">
      <c r="A48" s="11"/>
      <c r="P48" s="5"/>
      <c r="Q48" s="5"/>
      <c r="R48" s="5"/>
      <c r="S48" s="5"/>
    </row>
    <row r="49" spans="1:19" ht="18.75" x14ac:dyDescent="0.3">
      <c r="A49" s="11"/>
      <c r="P49" s="5"/>
      <c r="Q49" s="5"/>
      <c r="R49" s="5"/>
      <c r="S49" s="5"/>
    </row>
    <row r="50" spans="1:19" ht="18.75" x14ac:dyDescent="0.3">
      <c r="A50" s="11"/>
      <c r="P50" s="5"/>
      <c r="Q50" s="5"/>
      <c r="R50" s="5"/>
      <c r="S50" s="5"/>
    </row>
    <row r="51" spans="1:19" ht="15.75" x14ac:dyDescent="0.25">
      <c r="P51" s="5"/>
      <c r="Q51" s="5"/>
      <c r="R51" s="5"/>
      <c r="S51" s="5"/>
    </row>
    <row r="52" spans="1:19" ht="15.75" x14ac:dyDescent="0.25">
      <c r="P52" s="5"/>
      <c r="Q52" s="5"/>
      <c r="R52" s="5"/>
      <c r="S52" s="5"/>
    </row>
    <row r="53" spans="1:19" ht="18.75" x14ac:dyDescent="0.3">
      <c r="A53" s="14"/>
      <c r="B53" s="5"/>
      <c r="C53" s="5"/>
      <c r="E53" s="5"/>
      <c r="G53" s="5"/>
      <c r="J53" s="5"/>
      <c r="L53" s="5"/>
      <c r="M53" s="5"/>
      <c r="O53" s="5"/>
      <c r="P53" s="5"/>
      <c r="Q53" s="5"/>
      <c r="R53" s="5"/>
      <c r="S53" s="5"/>
    </row>
    <row r="54" spans="1:19" ht="18.75" x14ac:dyDescent="0.3">
      <c r="A54" s="11"/>
      <c r="B54" s="5"/>
      <c r="C54" s="5"/>
      <c r="E54" s="5"/>
      <c r="G54" s="5"/>
      <c r="J54" s="5"/>
      <c r="L54" s="5"/>
      <c r="M54" s="5"/>
      <c r="O54" s="5"/>
      <c r="P54" s="5"/>
      <c r="Q54" s="5"/>
      <c r="R54" s="5"/>
      <c r="S54" s="5"/>
    </row>
    <row r="55" spans="1:19" ht="18.75" x14ac:dyDescent="0.3">
      <c r="A55" s="11"/>
      <c r="B55" s="5"/>
      <c r="C55" s="5"/>
      <c r="E55" s="5"/>
      <c r="G55" s="5"/>
      <c r="J55" s="5"/>
      <c r="L55" s="5"/>
      <c r="M55" s="5"/>
      <c r="O55" s="5"/>
      <c r="P55" s="5"/>
      <c r="Q55" s="5"/>
      <c r="R55" s="5"/>
      <c r="S55" s="5"/>
    </row>
    <row r="56" spans="1:19" ht="18.75" x14ac:dyDescent="0.3">
      <c r="A56" s="11"/>
      <c r="B56" s="5"/>
      <c r="C56" s="5"/>
      <c r="E56" s="5"/>
      <c r="G56" s="5"/>
      <c r="J56" s="5"/>
      <c r="L56" s="5"/>
      <c r="M56" s="5"/>
      <c r="O56" s="5"/>
      <c r="P56" s="5"/>
      <c r="Q56" s="5"/>
      <c r="R56" s="5"/>
      <c r="S56" s="5"/>
    </row>
    <row r="57" spans="1:19" ht="18.75" x14ac:dyDescent="0.3">
      <c r="A57" s="11"/>
      <c r="B57" s="5"/>
      <c r="C57" s="5"/>
      <c r="E57" s="5"/>
      <c r="G57" s="5"/>
      <c r="J57" s="5"/>
      <c r="L57" s="5"/>
      <c r="M57" s="5"/>
      <c r="O57" s="5"/>
      <c r="P57" s="5"/>
      <c r="Q57" s="5"/>
      <c r="R57" s="5"/>
      <c r="S57" s="5"/>
    </row>
    <row r="58" spans="1:19" ht="18.75" x14ac:dyDescent="0.3">
      <c r="A58" s="11"/>
      <c r="B58" s="5"/>
      <c r="C58" s="5"/>
      <c r="E58" s="5"/>
      <c r="G58" s="5"/>
      <c r="J58" s="5"/>
      <c r="L58" s="5"/>
      <c r="M58" s="5"/>
      <c r="O58" s="5"/>
      <c r="P58" s="5"/>
      <c r="Q58" s="5"/>
      <c r="R58" s="5"/>
      <c r="S58" s="5"/>
    </row>
    <row r="59" spans="1:19" ht="18.75" x14ac:dyDescent="0.3">
      <c r="A59" s="11"/>
      <c r="B59" s="5"/>
      <c r="C59" s="5"/>
      <c r="E59" s="5"/>
      <c r="G59" s="5"/>
      <c r="J59" s="5"/>
      <c r="L59" s="5"/>
      <c r="M59" s="5"/>
      <c r="O59" s="5"/>
      <c r="P59" s="5"/>
      <c r="Q59" s="5"/>
      <c r="R59" s="5"/>
      <c r="S59" s="5"/>
    </row>
    <row r="60" spans="1:19" ht="18.75" x14ac:dyDescent="0.3">
      <c r="A60" s="11"/>
      <c r="B60" s="5"/>
      <c r="C60" s="5"/>
      <c r="E60" s="5"/>
      <c r="G60" s="5"/>
      <c r="J60" s="5"/>
      <c r="L60" s="5"/>
      <c r="M60" s="5"/>
      <c r="O60" s="5"/>
      <c r="P60" s="5"/>
      <c r="Q60" s="5"/>
      <c r="R60" s="5"/>
      <c r="S60" s="5"/>
    </row>
    <row r="61" spans="1:19" ht="15.75" x14ac:dyDescent="0.25">
      <c r="A61" s="5"/>
      <c r="B61" s="5"/>
      <c r="C61" s="5"/>
      <c r="D61" s="5"/>
      <c r="E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spans="1:19" ht="18.75" x14ac:dyDescent="0.3">
      <c r="A62" s="10"/>
      <c r="B62" s="4"/>
      <c r="C62" s="4"/>
      <c r="D62" s="4"/>
      <c r="E62" s="4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spans="1:19" ht="15.75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1:19" ht="18.75" x14ac:dyDescent="0.3">
      <c r="A64" s="11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pans="1:19" ht="18.75" x14ac:dyDescent="0.3">
      <c r="A65" s="11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1:19" ht="18.75" x14ac:dyDescent="0.3">
      <c r="A66" s="11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spans="1:19" ht="18.75" x14ac:dyDescent="0.3">
      <c r="A67" s="11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1:19" ht="18.75" x14ac:dyDescent="0.3">
      <c r="A68" s="11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1:19" ht="18.75" x14ac:dyDescent="0.3">
      <c r="A69" s="11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spans="1:19" ht="18.75" x14ac:dyDescent="0.3">
      <c r="A70" s="11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1:19" ht="18.75" x14ac:dyDescent="0.3">
      <c r="A71" s="11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pans="1:19" ht="18.75" x14ac:dyDescent="0.3">
      <c r="A72" s="11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19" ht="18.75" x14ac:dyDescent="0.3">
      <c r="A73" s="11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1:19" ht="18.75" x14ac:dyDescent="0.3">
      <c r="A74" s="11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19" ht="18.75" x14ac:dyDescent="0.3">
      <c r="A75" s="11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pans="1:19" ht="18.75" x14ac:dyDescent="0.3">
      <c r="A76" s="11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1:19" ht="18.75" x14ac:dyDescent="0.3">
      <c r="A77" s="11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pans="1:19" ht="18.75" x14ac:dyDescent="0.3">
      <c r="A78" s="11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pans="1:19" ht="18.75" x14ac:dyDescent="0.3">
      <c r="A79" s="11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1:19" ht="18.75" x14ac:dyDescent="0.3">
      <c r="A80" s="11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pans="1:19" ht="18.75" x14ac:dyDescent="0.3">
      <c r="A81" s="11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</sheetData>
  <sheetProtection password="C7EC" sheet="1" objects="1" scenarios="1"/>
  <mergeCells count="37">
    <mergeCell ref="P38:AE38"/>
    <mergeCell ref="E36:F36"/>
    <mergeCell ref="M36:N36"/>
    <mergeCell ref="E37:F37"/>
    <mergeCell ref="M37:N37"/>
    <mergeCell ref="E33:F33"/>
    <mergeCell ref="M33:N33"/>
    <mergeCell ref="E34:F34"/>
    <mergeCell ref="M34:N34"/>
    <mergeCell ref="E35:F35"/>
    <mergeCell ref="M35:N35"/>
    <mergeCell ref="E20:F20"/>
    <mergeCell ref="C11:D11"/>
    <mergeCell ref="E32:F32"/>
    <mergeCell ref="M32:N32"/>
    <mergeCell ref="E21:F21"/>
    <mergeCell ref="E22:F22"/>
    <mergeCell ref="E23:F23"/>
    <mergeCell ref="E24:F24"/>
    <mergeCell ref="E25:F25"/>
    <mergeCell ref="E26:F26"/>
    <mergeCell ref="E27:F27"/>
    <mergeCell ref="E30:F30"/>
    <mergeCell ref="M30:N30"/>
    <mergeCell ref="E31:F31"/>
    <mergeCell ref="M31:N31"/>
    <mergeCell ref="K11:L11"/>
    <mergeCell ref="O11:P11"/>
    <mergeCell ref="A1:AI2"/>
    <mergeCell ref="B4:G4"/>
    <mergeCell ref="A18:F18"/>
    <mergeCell ref="L18:S18"/>
    <mergeCell ref="K12:L12"/>
    <mergeCell ref="K13:L13"/>
    <mergeCell ref="O12:P12"/>
    <mergeCell ref="O13:P13"/>
    <mergeCell ref="O14:P14"/>
  </mergeCells>
  <conditionalFormatting sqref="I20:I27 I30:I37">
    <cfRule type="containsText" dxfId="47" priority="7" operator="containsText" text="falsch">
      <formula>NOT(ISERROR(SEARCH("falsch",I20)))</formula>
    </cfRule>
    <cfRule type="containsText" dxfId="46" priority="8" operator="containsText" text="richtig">
      <formula>NOT(ISERROR(SEARCH("richtig",I20)))</formula>
    </cfRule>
    <cfRule type="containsText" dxfId="45" priority="9" operator="containsText" text="x">
      <formula>NOT(ISERROR(SEARCH("x",I20)))</formula>
    </cfRule>
  </conditionalFormatting>
  <conditionalFormatting sqref="AK20:AK27">
    <cfRule type="containsText" dxfId="44" priority="1" operator="containsText" text="falsch">
      <formula>NOT(ISERROR(SEARCH("falsch",AK20)))</formula>
    </cfRule>
    <cfRule type="containsText" dxfId="43" priority="2" operator="containsText" text="richtig">
      <formula>NOT(ISERROR(SEARCH("richtig",AK20)))</formula>
    </cfRule>
    <cfRule type="containsText" dxfId="42" priority="3" operator="containsText" text="x">
      <formula>NOT(ISERROR(SEARCH("x",AK20)))</formula>
    </cfRule>
  </conditionalFormatting>
  <pageMargins left="0.7" right="0.7" top="0.78740157499999996" bottom="0.78740157499999996" header="0.3" footer="0.3"/>
  <pageSetup paperSize="9" orientation="portrait" r:id="rId1"/>
  <headerFooter>
    <oddFooter>&amp;CSchrott Katja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1"/>
  <sheetViews>
    <sheetView workbookViewId="0">
      <selection activeCell="G19" sqref="G19"/>
    </sheetView>
  </sheetViews>
  <sheetFormatPr baseColWidth="10" defaultRowHeight="15" x14ac:dyDescent="0.25"/>
  <cols>
    <col min="1" max="1" width="5.140625" customWidth="1"/>
    <col min="2" max="2" width="9.7109375" customWidth="1"/>
    <col min="3" max="3" width="5.140625" customWidth="1"/>
    <col min="4" max="4" width="5.5703125" customWidth="1"/>
    <col min="5" max="5" width="8.42578125" customWidth="1"/>
    <col min="6" max="6" width="6.85546875" customWidth="1"/>
    <col min="7" max="7" width="7.85546875" bestFit="1" customWidth="1"/>
    <col min="8" max="8" width="9" hidden="1" customWidth="1"/>
    <col min="9" max="9" width="11.28515625" hidden="1" customWidth="1"/>
    <col min="10" max="10" width="6.140625" customWidth="1"/>
    <col min="11" max="11" width="9.28515625" customWidth="1"/>
    <col min="12" max="12" width="5.85546875" customWidth="1"/>
    <col min="13" max="13" width="5.28515625" customWidth="1"/>
    <col min="14" max="14" width="6.140625" customWidth="1"/>
    <col min="15" max="15" width="5.85546875" customWidth="1"/>
    <col min="16" max="16" width="6" customWidth="1"/>
    <col min="17" max="17" width="6.140625" customWidth="1"/>
    <col min="18" max="18" width="6.140625" hidden="1" customWidth="1"/>
    <col min="19" max="19" width="6.7109375" customWidth="1"/>
    <col min="20" max="20" width="7.42578125" customWidth="1"/>
    <col min="21" max="22" width="7.42578125" hidden="1" customWidth="1"/>
    <col min="23" max="23" width="7.140625" customWidth="1"/>
    <col min="24" max="24" width="9" bestFit="1" customWidth="1"/>
    <col min="25" max="26" width="6.85546875" hidden="1" customWidth="1"/>
    <col min="27" max="27" width="7.140625" customWidth="1"/>
    <col min="28" max="28" width="9.140625" bestFit="1" customWidth="1"/>
    <col min="29" max="30" width="5.28515625" hidden="1" customWidth="1"/>
    <col min="31" max="31" width="5.7109375" customWidth="1"/>
    <col min="32" max="32" width="7.28515625" customWidth="1"/>
    <col min="33" max="34" width="10.7109375" hidden="1" customWidth="1"/>
    <col min="35" max="35" width="11.28515625" hidden="1" customWidth="1"/>
    <col min="36" max="36" width="11.42578125" hidden="1" customWidth="1"/>
  </cols>
  <sheetData>
    <row r="1" spans="1:35" ht="23.25" customHeight="1" x14ac:dyDescent="0.25">
      <c r="A1" s="86" t="s">
        <v>105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</row>
    <row r="2" spans="1:35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</row>
    <row r="3" spans="1:35" ht="18.75" x14ac:dyDescent="0.3">
      <c r="A3" s="10" t="s">
        <v>7</v>
      </c>
      <c r="B3" s="4"/>
      <c r="C3" s="4"/>
      <c r="D3" s="4"/>
      <c r="E3" s="4"/>
      <c r="F3" s="4"/>
      <c r="G3" s="5"/>
    </row>
    <row r="4" spans="1:35" ht="15.75" x14ac:dyDescent="0.25">
      <c r="A4" s="5"/>
      <c r="B4" s="87" t="s">
        <v>42</v>
      </c>
      <c r="C4" s="87"/>
      <c r="D4" s="87"/>
      <c r="E4" s="87"/>
      <c r="F4" s="87"/>
      <c r="G4" s="87"/>
    </row>
    <row r="5" spans="1:35" ht="15.75" x14ac:dyDescent="0.25">
      <c r="A5" s="5"/>
      <c r="B5" s="49"/>
      <c r="C5" s="49"/>
      <c r="D5" s="49"/>
      <c r="E5" s="49"/>
      <c r="F5" s="49"/>
      <c r="G5" s="49"/>
    </row>
    <row r="6" spans="1:35" s="2" customFormat="1" ht="18.75" x14ac:dyDescent="0.3">
      <c r="A6" s="6"/>
      <c r="B6" s="6"/>
      <c r="C6" s="6"/>
      <c r="D6" s="6"/>
      <c r="E6" s="6"/>
      <c r="F6" s="6"/>
      <c r="G6" s="6"/>
      <c r="J6" s="12" t="s">
        <v>106</v>
      </c>
      <c r="L6" s="12" t="s">
        <v>107</v>
      </c>
      <c r="M6" s="6"/>
      <c r="N6" s="12" t="s">
        <v>108</v>
      </c>
      <c r="O6" s="6"/>
      <c r="P6" s="12" t="s">
        <v>109</v>
      </c>
      <c r="Q6" s="6"/>
      <c r="R6" s="6"/>
      <c r="S6" s="12"/>
    </row>
    <row r="7" spans="1:35" ht="15.75" customHeight="1" x14ac:dyDescent="0.25">
      <c r="A7" s="5"/>
      <c r="B7" s="5"/>
      <c r="C7" s="5"/>
      <c r="D7" s="5"/>
      <c r="E7" s="5"/>
      <c r="F7" s="5"/>
      <c r="G7" s="5"/>
      <c r="J7" s="7"/>
      <c r="K7" s="5"/>
      <c r="L7" s="1"/>
      <c r="M7" s="1"/>
      <c r="N7" s="5"/>
      <c r="O7" s="1"/>
      <c r="P7" s="5"/>
      <c r="Q7" s="1"/>
      <c r="R7" s="1"/>
      <c r="S7" s="5"/>
    </row>
    <row r="8" spans="1:35" ht="15.75" x14ac:dyDescent="0.25">
      <c r="A8" s="5"/>
      <c r="B8" s="5"/>
      <c r="C8" s="5"/>
      <c r="D8" s="5"/>
      <c r="E8" s="5"/>
      <c r="F8" s="5"/>
      <c r="G8" s="5"/>
      <c r="K8" s="60">
        <v>1000</v>
      </c>
      <c r="L8" s="5"/>
      <c r="M8" s="60">
        <v>100</v>
      </c>
      <c r="N8" s="5"/>
      <c r="O8" s="60">
        <v>10</v>
      </c>
      <c r="P8" s="5"/>
      <c r="Q8" s="5"/>
      <c r="R8" s="28"/>
      <c r="S8" s="5"/>
    </row>
    <row r="9" spans="1:35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35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35" ht="15.75" x14ac:dyDescent="0.25">
      <c r="A11" s="51" t="s">
        <v>110</v>
      </c>
      <c r="B11" s="9" t="s">
        <v>24</v>
      </c>
      <c r="C11" s="96">
        <v>1000</v>
      </c>
      <c r="D11" s="96"/>
      <c r="E11" s="23" t="s">
        <v>107</v>
      </c>
      <c r="F11" s="24" t="s">
        <v>24</v>
      </c>
      <c r="G11" s="78">
        <v>100000</v>
      </c>
      <c r="J11" s="23" t="s">
        <v>108</v>
      </c>
      <c r="K11" s="24" t="s">
        <v>24</v>
      </c>
      <c r="L11" s="96">
        <v>1000000</v>
      </c>
      <c r="M11" s="96"/>
      <c r="N11" s="23" t="s">
        <v>109</v>
      </c>
      <c r="Q11" s="51"/>
      <c r="R11" s="5"/>
      <c r="S11" s="5"/>
    </row>
    <row r="12" spans="1:35" ht="15.75" x14ac:dyDescent="0.25">
      <c r="A12" s="5"/>
      <c r="B12" s="5"/>
      <c r="C12" s="5"/>
      <c r="E12" s="51" t="s">
        <v>111</v>
      </c>
      <c r="F12" s="9" t="s">
        <v>24</v>
      </c>
      <c r="G12" s="60">
        <v>100</v>
      </c>
      <c r="J12" s="57" t="s">
        <v>108</v>
      </c>
      <c r="K12" s="9" t="s">
        <v>24</v>
      </c>
      <c r="L12" s="96">
        <v>1000</v>
      </c>
      <c r="M12" s="96"/>
      <c r="N12" s="23" t="s">
        <v>109</v>
      </c>
      <c r="Q12" s="23"/>
      <c r="R12" s="5"/>
      <c r="S12" s="5"/>
    </row>
    <row r="13" spans="1:35" ht="15.75" x14ac:dyDescent="0.25">
      <c r="A13" s="5"/>
      <c r="B13" s="5"/>
      <c r="C13" s="5"/>
      <c r="E13" s="51"/>
      <c r="F13" s="51"/>
      <c r="G13" s="51"/>
      <c r="J13" s="57" t="s">
        <v>112</v>
      </c>
      <c r="K13" s="9" t="s">
        <v>24</v>
      </c>
      <c r="L13" s="96">
        <v>10</v>
      </c>
      <c r="M13" s="96"/>
      <c r="N13" s="23" t="s">
        <v>109</v>
      </c>
      <c r="Q13" s="23"/>
      <c r="R13" s="5"/>
      <c r="S13" s="5"/>
    </row>
    <row r="14" spans="1:35" ht="15.75" x14ac:dyDescent="0.25">
      <c r="A14" s="5"/>
      <c r="B14" s="5"/>
      <c r="C14" s="5"/>
      <c r="E14" s="5"/>
      <c r="F14" s="5"/>
      <c r="G14" s="5"/>
      <c r="K14" s="5"/>
      <c r="L14" s="5"/>
      <c r="M14" s="5"/>
      <c r="N14" s="5"/>
      <c r="O14" s="23"/>
      <c r="Q14" s="23"/>
      <c r="R14" s="5"/>
      <c r="S14" s="5"/>
    </row>
    <row r="15" spans="1:35" ht="15.75" x14ac:dyDescent="0.25"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35" ht="18.75" x14ac:dyDescent="0.3">
      <c r="A16" s="10" t="s">
        <v>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36" ht="15.75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36" ht="15.75" x14ac:dyDescent="0.25">
      <c r="A18" s="88" t="s">
        <v>43</v>
      </c>
      <c r="B18" s="88"/>
      <c r="C18" s="88"/>
      <c r="D18" s="88"/>
      <c r="E18" s="88"/>
      <c r="F18" s="88"/>
      <c r="G18" s="34">
        <v>3</v>
      </c>
      <c r="J18" s="27"/>
      <c r="K18" s="5"/>
      <c r="L18" s="88" t="s">
        <v>43</v>
      </c>
      <c r="M18" s="88"/>
      <c r="N18" s="88"/>
      <c r="O18" s="88"/>
      <c r="P18" s="88"/>
      <c r="Q18" s="88"/>
      <c r="R18" s="88"/>
      <c r="S18" s="88"/>
      <c r="T18" s="34">
        <v>3</v>
      </c>
    </row>
    <row r="19" spans="1:36" ht="15.75" x14ac:dyDescent="0.25">
      <c r="A19" s="5"/>
      <c r="B19" s="5"/>
      <c r="C19" s="5"/>
      <c r="D19" s="5"/>
      <c r="E19" s="5"/>
      <c r="F19" s="5"/>
      <c r="G19" s="5"/>
      <c r="H19" s="5"/>
      <c r="I19" s="39" t="s">
        <v>45</v>
      </c>
      <c r="J19" s="27"/>
      <c r="K19" s="5"/>
      <c r="L19" s="5"/>
      <c r="M19" s="5"/>
      <c r="N19" s="5"/>
      <c r="O19" s="5"/>
      <c r="P19" s="5"/>
      <c r="Q19" s="5"/>
      <c r="R19" s="5"/>
      <c r="S19" s="5"/>
      <c r="T19" s="3"/>
      <c r="U19" s="3"/>
      <c r="AJ19" s="39" t="s">
        <v>45</v>
      </c>
    </row>
    <row r="20" spans="1:36" ht="18.75" x14ac:dyDescent="0.3">
      <c r="A20" s="11" t="s">
        <v>8</v>
      </c>
      <c r="B20" s="51">
        <f>2.13+G18</f>
        <v>5.13</v>
      </c>
      <c r="C20" s="51" t="s">
        <v>106</v>
      </c>
      <c r="D20" s="9" t="s">
        <v>24</v>
      </c>
      <c r="E20" s="97">
        <f>B20*1000</f>
        <v>5130</v>
      </c>
      <c r="F20" s="97"/>
      <c r="G20" s="51" t="s">
        <v>107</v>
      </c>
      <c r="H20">
        <f>B20*1000</f>
        <v>5130</v>
      </c>
      <c r="I20" s="38" t="str">
        <f t="shared" ref="I20:I25" si="0">IF(E20="","x",IF(E20=H20,"richtig","falsch"))</f>
        <v>richtig</v>
      </c>
      <c r="J20" s="27"/>
      <c r="L20" s="11" t="s">
        <v>26</v>
      </c>
      <c r="N20" s="23">
        <v>0</v>
      </c>
      <c r="O20" s="51" t="s">
        <v>106</v>
      </c>
      <c r="P20" s="23">
        <f>4+T18</f>
        <v>7</v>
      </c>
      <c r="Q20" s="51" t="s">
        <v>107</v>
      </c>
      <c r="R20" s="51"/>
      <c r="S20" s="23">
        <f>2+T18</f>
        <v>5</v>
      </c>
      <c r="T20" s="51" t="s">
        <v>108</v>
      </c>
      <c r="U20" s="51"/>
      <c r="V20" s="51"/>
      <c r="W20" s="23">
        <v>7</v>
      </c>
      <c r="X20" s="23" t="s">
        <v>109</v>
      </c>
      <c r="Y20" s="23"/>
      <c r="Z20" s="23"/>
      <c r="AA20" s="24" t="s">
        <v>24</v>
      </c>
      <c r="AB20" s="97">
        <f t="shared" ref="AB20:AB25" si="1">AI20</f>
        <v>7507</v>
      </c>
      <c r="AC20" s="97"/>
      <c r="AD20" s="97"/>
      <c r="AE20" s="97"/>
      <c r="AF20" s="23" t="s">
        <v>109</v>
      </c>
      <c r="AI20">
        <f>P20*1000+S20*100+W20</f>
        <v>7507</v>
      </c>
      <c r="AJ20" s="38" t="str">
        <f t="shared" ref="AJ20:AJ25" si="2">IF(AB20="","x",IF(AB20=AI20,"richtig","falsch"))</f>
        <v>richtig</v>
      </c>
    </row>
    <row r="21" spans="1:36" ht="18.75" x14ac:dyDescent="0.3">
      <c r="A21" s="11" t="s">
        <v>9</v>
      </c>
      <c r="B21" s="51">
        <f>$G$18+87.8</f>
        <v>90.8</v>
      </c>
      <c r="C21" s="51" t="s">
        <v>108</v>
      </c>
      <c r="D21" s="9" t="s">
        <v>24</v>
      </c>
      <c r="E21" s="98">
        <f>B21*10</f>
        <v>908</v>
      </c>
      <c r="F21" s="98"/>
      <c r="G21" s="51" t="s">
        <v>109</v>
      </c>
      <c r="H21">
        <f>B21*10</f>
        <v>908</v>
      </c>
      <c r="I21" s="38" t="str">
        <f t="shared" si="0"/>
        <v>richtig</v>
      </c>
      <c r="J21" s="27"/>
      <c r="L21" s="11" t="s">
        <v>27</v>
      </c>
      <c r="N21" s="51">
        <f>4+T18</f>
        <v>7</v>
      </c>
      <c r="O21" s="51" t="s">
        <v>106</v>
      </c>
      <c r="P21" s="51">
        <f>520+T18</f>
        <v>523</v>
      </c>
      <c r="Q21" s="51" t="s">
        <v>107</v>
      </c>
      <c r="R21" s="51"/>
      <c r="S21" s="51">
        <v>0</v>
      </c>
      <c r="T21" s="51" t="s">
        <v>108</v>
      </c>
      <c r="U21" s="51"/>
      <c r="V21" s="51"/>
      <c r="W21" s="23">
        <v>0</v>
      </c>
      <c r="X21" s="23" t="s">
        <v>109</v>
      </c>
      <c r="Y21" s="23"/>
      <c r="Z21" s="23"/>
      <c r="AA21" s="24" t="s">
        <v>24</v>
      </c>
      <c r="AB21" s="97">
        <f t="shared" si="1"/>
        <v>7523</v>
      </c>
      <c r="AC21" s="97"/>
      <c r="AD21" s="97"/>
      <c r="AE21" s="97"/>
      <c r="AF21" s="23" t="s">
        <v>107</v>
      </c>
      <c r="AI21">
        <f>N21*1000+P21</f>
        <v>7523</v>
      </c>
      <c r="AJ21" s="38" t="str">
        <f t="shared" si="2"/>
        <v>richtig</v>
      </c>
    </row>
    <row r="22" spans="1:36" ht="18.75" x14ac:dyDescent="0.3">
      <c r="A22" s="11" t="s">
        <v>10</v>
      </c>
      <c r="B22" s="51">
        <f>$G$18+360</f>
        <v>363</v>
      </c>
      <c r="C22" s="51" t="s">
        <v>107</v>
      </c>
      <c r="D22" s="9" t="s">
        <v>24</v>
      </c>
      <c r="E22" s="98">
        <f>B22*100</f>
        <v>36300</v>
      </c>
      <c r="F22" s="98"/>
      <c r="G22" s="51" t="s">
        <v>108</v>
      </c>
      <c r="H22">
        <f>363*100</f>
        <v>36300</v>
      </c>
      <c r="I22" s="38" t="str">
        <f t="shared" si="0"/>
        <v>richtig</v>
      </c>
      <c r="J22" s="27"/>
      <c r="L22" s="11" t="s">
        <v>28</v>
      </c>
      <c r="N22" s="51">
        <v>0</v>
      </c>
      <c r="O22" s="51" t="s">
        <v>106</v>
      </c>
      <c r="P22" s="51">
        <v>2</v>
      </c>
      <c r="Q22" s="51" t="s">
        <v>107</v>
      </c>
      <c r="R22" s="51"/>
      <c r="S22" s="51">
        <v>7</v>
      </c>
      <c r="T22" s="51" t="s">
        <v>108</v>
      </c>
      <c r="U22" s="51"/>
      <c r="V22" s="51"/>
      <c r="W22" s="23">
        <f>1+T18</f>
        <v>4</v>
      </c>
      <c r="X22" s="23" t="s">
        <v>109</v>
      </c>
      <c r="Y22" s="23"/>
      <c r="Z22" s="23"/>
      <c r="AA22" s="24" t="s">
        <v>24</v>
      </c>
      <c r="AB22" s="97">
        <f t="shared" si="1"/>
        <v>207.4</v>
      </c>
      <c r="AC22" s="97"/>
      <c r="AD22" s="97"/>
      <c r="AE22" s="97"/>
      <c r="AF22" s="23" t="s">
        <v>108</v>
      </c>
      <c r="AI22">
        <f>P22*100+S22+W22/10</f>
        <v>207.4</v>
      </c>
      <c r="AJ22" s="38" t="str">
        <f t="shared" si="2"/>
        <v>richtig</v>
      </c>
    </row>
    <row r="23" spans="1:36" ht="18.75" x14ac:dyDescent="0.3">
      <c r="A23" s="11" t="s">
        <v>11</v>
      </c>
      <c r="B23" s="51">
        <f>$G$18+68.3</f>
        <v>71.3</v>
      </c>
      <c r="C23" s="51" t="s">
        <v>107</v>
      </c>
      <c r="D23" s="9" t="s">
        <v>24</v>
      </c>
      <c r="E23" s="98">
        <f>B23*1000</f>
        <v>71300</v>
      </c>
      <c r="F23" s="98"/>
      <c r="G23" s="51" t="s">
        <v>109</v>
      </c>
      <c r="H23">
        <f>B23*1000</f>
        <v>71300</v>
      </c>
      <c r="I23" s="38" t="str">
        <f t="shared" si="0"/>
        <v>richtig</v>
      </c>
      <c r="J23" s="27"/>
      <c r="L23" s="11" t="s">
        <v>29</v>
      </c>
      <c r="N23" s="51">
        <v>0</v>
      </c>
      <c r="O23" s="57" t="s">
        <v>106</v>
      </c>
      <c r="P23" s="51">
        <v>0</v>
      </c>
      <c r="Q23" s="57" t="s">
        <v>107</v>
      </c>
      <c r="R23" s="51"/>
      <c r="S23" s="51">
        <v>35</v>
      </c>
      <c r="T23" s="57" t="s">
        <v>108</v>
      </c>
      <c r="U23" s="51"/>
      <c r="V23" s="51"/>
      <c r="W23" s="23">
        <f>3+T18</f>
        <v>6</v>
      </c>
      <c r="X23" s="23" t="s">
        <v>109</v>
      </c>
      <c r="Y23" s="23"/>
      <c r="Z23" s="23"/>
      <c r="AA23" s="24" t="s">
        <v>24</v>
      </c>
      <c r="AB23" s="97">
        <f t="shared" si="1"/>
        <v>356</v>
      </c>
      <c r="AC23" s="97"/>
      <c r="AD23" s="97"/>
      <c r="AE23" s="97"/>
      <c r="AF23" s="23" t="s">
        <v>109</v>
      </c>
      <c r="AI23">
        <f>S23*10+W23</f>
        <v>356</v>
      </c>
      <c r="AJ23" s="38" t="str">
        <f t="shared" si="2"/>
        <v>richtig</v>
      </c>
    </row>
    <row r="24" spans="1:36" ht="18.75" x14ac:dyDescent="0.3">
      <c r="A24" s="11" t="s">
        <v>12</v>
      </c>
      <c r="B24" s="51">
        <f>$G$18+20</f>
        <v>23</v>
      </c>
      <c r="C24" s="51" t="s">
        <v>106</v>
      </c>
      <c r="D24" s="9" t="s">
        <v>24</v>
      </c>
      <c r="E24" s="98">
        <f>B24*1000</f>
        <v>23000</v>
      </c>
      <c r="F24" s="98"/>
      <c r="G24" s="51" t="s">
        <v>107</v>
      </c>
      <c r="H24">
        <f>B24*1000</f>
        <v>23000</v>
      </c>
      <c r="I24" s="38" t="str">
        <f t="shared" si="0"/>
        <v>richtig</v>
      </c>
      <c r="J24" s="27"/>
      <c r="L24" s="11" t="s">
        <v>30</v>
      </c>
      <c r="N24" s="51">
        <v>4</v>
      </c>
      <c r="O24" s="57" t="s">
        <v>106</v>
      </c>
      <c r="P24" s="51">
        <f>341+T18</f>
        <v>344</v>
      </c>
      <c r="Q24" s="57" t="s">
        <v>107</v>
      </c>
      <c r="R24" s="51"/>
      <c r="S24" s="51">
        <v>0</v>
      </c>
      <c r="T24" s="57" t="s">
        <v>108</v>
      </c>
      <c r="U24" s="51"/>
      <c r="V24" s="51"/>
      <c r="W24" s="23">
        <v>0</v>
      </c>
      <c r="X24" s="23" t="s">
        <v>109</v>
      </c>
      <c r="Y24" s="23"/>
      <c r="Z24" s="23"/>
      <c r="AA24" s="24" t="s">
        <v>24</v>
      </c>
      <c r="AB24" s="97">
        <f t="shared" si="1"/>
        <v>4.3440000000000003</v>
      </c>
      <c r="AC24" s="97"/>
      <c r="AD24" s="97"/>
      <c r="AE24" s="97"/>
      <c r="AF24" s="23" t="s">
        <v>106</v>
      </c>
      <c r="AI24">
        <f>N24+P24/1000</f>
        <v>4.3440000000000003</v>
      </c>
      <c r="AJ24" s="38" t="str">
        <f t="shared" si="2"/>
        <v>richtig</v>
      </c>
    </row>
    <row r="25" spans="1:36" ht="18.75" x14ac:dyDescent="0.3">
      <c r="A25" s="11" t="s">
        <v>13</v>
      </c>
      <c r="B25" s="51">
        <f>$G$18+2</f>
        <v>5</v>
      </c>
      <c r="C25" s="51" t="s">
        <v>106</v>
      </c>
      <c r="D25" s="9" t="s">
        <v>24</v>
      </c>
      <c r="E25" s="98">
        <f>B25*100000</f>
        <v>500000</v>
      </c>
      <c r="F25" s="98"/>
      <c r="G25" s="51" t="s">
        <v>108</v>
      </c>
      <c r="H25">
        <f>B25*100000</f>
        <v>500000</v>
      </c>
      <c r="I25" s="38" t="str">
        <f t="shared" si="0"/>
        <v>richtig</v>
      </c>
      <c r="J25" s="27"/>
      <c r="L25" s="11" t="s">
        <v>31</v>
      </c>
      <c r="N25" s="51">
        <f>3+T18</f>
        <v>6</v>
      </c>
      <c r="O25" s="57" t="s">
        <v>106</v>
      </c>
      <c r="P25" s="51">
        <v>87</v>
      </c>
      <c r="Q25" s="57" t="s">
        <v>107</v>
      </c>
      <c r="R25" s="51"/>
      <c r="S25" s="51">
        <v>9</v>
      </c>
      <c r="T25" s="57" t="s">
        <v>108</v>
      </c>
      <c r="U25" s="51"/>
      <c r="V25" s="51"/>
      <c r="W25" s="23">
        <v>2</v>
      </c>
      <c r="X25" s="23" t="s">
        <v>109</v>
      </c>
      <c r="Y25" s="23"/>
      <c r="Z25" s="23"/>
      <c r="AA25" s="24" t="s">
        <v>24</v>
      </c>
      <c r="AB25" s="97">
        <f t="shared" si="1"/>
        <v>6087.0920000000006</v>
      </c>
      <c r="AC25" s="97"/>
      <c r="AD25" s="97"/>
      <c r="AE25" s="97"/>
      <c r="AF25" s="23" t="s">
        <v>107</v>
      </c>
      <c r="AI25">
        <f>N25*1000+P25+S25/100+W25/1000</f>
        <v>6087.0920000000006</v>
      </c>
      <c r="AJ25" s="38" t="str">
        <f t="shared" si="2"/>
        <v>richtig</v>
      </c>
    </row>
    <row r="26" spans="1:36" ht="18.75" x14ac:dyDescent="0.3">
      <c r="A26" s="11"/>
      <c r="B26" s="51"/>
      <c r="C26" s="51"/>
      <c r="D26" s="9"/>
      <c r="E26" s="57"/>
      <c r="F26" s="57"/>
      <c r="G26" s="51"/>
      <c r="I26" s="57"/>
      <c r="J26" s="27"/>
      <c r="L26" s="22"/>
      <c r="M26" s="22"/>
      <c r="N26" s="17"/>
      <c r="O26" s="17"/>
      <c r="P26" s="17"/>
      <c r="Q26" s="17"/>
      <c r="R26" s="17"/>
      <c r="S26" s="17"/>
      <c r="T26" s="17"/>
      <c r="U26" s="17"/>
      <c r="V26" s="17"/>
      <c r="W26" s="76"/>
      <c r="X26" s="76"/>
      <c r="Y26" s="76"/>
      <c r="Z26" s="76"/>
      <c r="AA26" s="76"/>
      <c r="AB26" s="76"/>
      <c r="AC26" s="76"/>
      <c r="AD26" s="76"/>
      <c r="AE26" s="77"/>
      <c r="AF26" s="22"/>
      <c r="AG26" s="61"/>
      <c r="AH26" s="61"/>
      <c r="AI26" s="76"/>
    </row>
    <row r="27" spans="1:36" ht="18.75" x14ac:dyDescent="0.3">
      <c r="A27" s="16"/>
      <c r="B27" s="17"/>
      <c r="C27" s="17"/>
      <c r="D27" s="18"/>
      <c r="E27" s="17"/>
      <c r="F27" s="17"/>
      <c r="G27" s="17"/>
      <c r="H27" s="22"/>
      <c r="I27" s="17"/>
      <c r="J27" s="27"/>
      <c r="N27" s="51"/>
      <c r="O27" s="51"/>
      <c r="P27" s="51"/>
      <c r="Q27" s="51"/>
      <c r="R27" s="51"/>
      <c r="S27" s="51"/>
      <c r="T27" s="51"/>
      <c r="U27" s="51"/>
      <c r="V27" s="51"/>
      <c r="W27" s="23"/>
      <c r="X27" s="23"/>
      <c r="Y27" s="23"/>
      <c r="Z27" s="23"/>
      <c r="AA27" s="23"/>
      <c r="AB27" s="23"/>
      <c r="AC27" s="23"/>
      <c r="AD27" s="23"/>
      <c r="AE27" s="24"/>
      <c r="AG27" s="31"/>
      <c r="AH27" s="31"/>
      <c r="AI27" s="23"/>
    </row>
    <row r="28" spans="1:36" ht="18.75" x14ac:dyDescent="0.3">
      <c r="A28" s="14"/>
      <c r="B28" s="15"/>
      <c r="C28" s="15"/>
      <c r="D28" s="20"/>
      <c r="E28" s="15"/>
      <c r="F28" s="15"/>
      <c r="G28" s="13"/>
      <c r="H28" s="5"/>
      <c r="I28" s="5"/>
      <c r="J28" s="27"/>
      <c r="K28" s="14"/>
      <c r="L28" s="11" t="s">
        <v>32</v>
      </c>
      <c r="M28" s="101">
        <f>2432.21+T18</f>
        <v>2435.21</v>
      </c>
      <c r="N28" s="101"/>
      <c r="O28" s="57" t="s">
        <v>107</v>
      </c>
      <c r="P28" s="9" t="s">
        <v>24</v>
      </c>
      <c r="Q28" s="63">
        <f>TRUNC((M28/1000),0)</f>
        <v>2</v>
      </c>
      <c r="R28" s="30">
        <f>TRUNC(M28,0)</f>
        <v>2435</v>
      </c>
      <c r="S28" s="57" t="s">
        <v>106</v>
      </c>
      <c r="T28" s="63">
        <f>TRUNC((M28-Q28*1000),0)</f>
        <v>435</v>
      </c>
      <c r="U28" s="30">
        <f>TRUNC(M28*1000-R28*1000)</f>
        <v>210</v>
      </c>
      <c r="V28" s="30">
        <f t="shared" ref="V28:V33" si="3">TRUNC(U28,0)</f>
        <v>210</v>
      </c>
      <c r="W28" s="57" t="s">
        <v>107</v>
      </c>
      <c r="X28" s="62">
        <f>(M28-Q28*1000-T28)*100</f>
        <v>21.000000000003638</v>
      </c>
      <c r="Y28" s="31">
        <f>M28*10000-R28*10000-U28*10</f>
        <v>0</v>
      </c>
      <c r="Z28" s="31">
        <f t="shared" ref="Z28:Z33" si="4">TRUNC(Y28,0)</f>
        <v>0</v>
      </c>
      <c r="AA28" s="57" t="s">
        <v>108</v>
      </c>
      <c r="AB28" s="62">
        <v>0</v>
      </c>
      <c r="AC28" s="31"/>
      <c r="AD28" s="31"/>
      <c r="AE28" s="57" t="s">
        <v>109</v>
      </c>
      <c r="AG28" s="31"/>
      <c r="AH28" s="31"/>
      <c r="AI28" s="57"/>
    </row>
    <row r="29" spans="1:36" ht="18.75" x14ac:dyDescent="0.3">
      <c r="A29" s="14" t="s">
        <v>14</v>
      </c>
      <c r="B29" s="15">
        <f>$G$18+245</f>
        <v>248</v>
      </c>
      <c r="C29" s="15" t="s">
        <v>109</v>
      </c>
      <c r="D29" s="20" t="s">
        <v>24</v>
      </c>
      <c r="E29" s="97">
        <f>B29/10</f>
        <v>24.8</v>
      </c>
      <c r="F29" s="97"/>
      <c r="G29" s="15" t="s">
        <v>108</v>
      </c>
      <c r="H29">
        <f>B29/10</f>
        <v>24.8</v>
      </c>
      <c r="I29" s="38" t="str">
        <f t="shared" ref="I29:I34" si="5">IF(E29="","x",IF(E29=H29,"richtig","falsch"))</f>
        <v>richtig</v>
      </c>
      <c r="J29" s="27"/>
      <c r="K29" s="14"/>
      <c r="L29" s="11" t="s">
        <v>33</v>
      </c>
      <c r="M29" s="101">
        <f>4.993+T18</f>
        <v>7.9930000000000003</v>
      </c>
      <c r="N29" s="101"/>
      <c r="O29" s="57" t="s">
        <v>107</v>
      </c>
      <c r="P29" s="9" t="s">
        <v>24</v>
      </c>
      <c r="Q29" s="62">
        <v>0</v>
      </c>
      <c r="R29" s="31">
        <f>TRUNC(M29/1000,0)</f>
        <v>0</v>
      </c>
      <c r="S29" s="57" t="s">
        <v>106</v>
      </c>
      <c r="T29" s="62">
        <f>TRUNC(M29,0)</f>
        <v>7</v>
      </c>
      <c r="U29" s="31">
        <f>TRUNC(M29-R29*1000,0)</f>
        <v>7</v>
      </c>
      <c r="V29" s="31">
        <f t="shared" si="3"/>
        <v>7</v>
      </c>
      <c r="W29" s="57" t="s">
        <v>107</v>
      </c>
      <c r="X29" s="62">
        <f>TRUNC((M29-T29)*100,0)</f>
        <v>99</v>
      </c>
      <c r="Y29" s="31">
        <f>M29*10-Q29*10000-T29*10</f>
        <v>9.9300000000000068</v>
      </c>
      <c r="Z29" s="31">
        <f t="shared" si="4"/>
        <v>9</v>
      </c>
      <c r="AA29" s="57" t="s">
        <v>108</v>
      </c>
      <c r="AB29" s="62">
        <f>(M29-T29-X29/100)*1000</f>
        <v>3.0000000000003357</v>
      </c>
      <c r="AC29" s="31">
        <f>M29*100-Q29*100000-T29*100-X29*10</f>
        <v>-890.69999999999993</v>
      </c>
      <c r="AD29" s="31">
        <f>TRUNC(AC29,0)</f>
        <v>-890</v>
      </c>
      <c r="AE29" s="57" t="s">
        <v>109</v>
      </c>
      <c r="AG29" s="31"/>
      <c r="AH29" s="31"/>
      <c r="AI29" s="57"/>
    </row>
    <row r="30" spans="1:36" ht="18.75" x14ac:dyDescent="0.3">
      <c r="A30" s="11" t="s">
        <v>15</v>
      </c>
      <c r="B30" s="57">
        <f>$G$18+660</f>
        <v>663</v>
      </c>
      <c r="C30" s="57" t="s">
        <v>108</v>
      </c>
      <c r="D30" s="9" t="s">
        <v>24</v>
      </c>
      <c r="E30" s="97">
        <f>B30/100</f>
        <v>6.63</v>
      </c>
      <c r="F30" s="97"/>
      <c r="G30" s="57" t="s">
        <v>107</v>
      </c>
      <c r="H30">
        <f>B30/100</f>
        <v>6.63</v>
      </c>
      <c r="I30" s="38" t="str">
        <f t="shared" si="5"/>
        <v>richtig</v>
      </c>
      <c r="J30" s="27"/>
      <c r="L30" s="11" t="s">
        <v>34</v>
      </c>
      <c r="M30" s="101">
        <f>4.087+T18</f>
        <v>7.0869999999999997</v>
      </c>
      <c r="N30" s="101"/>
      <c r="O30" s="57" t="s">
        <v>106</v>
      </c>
      <c r="P30" s="9" t="s">
        <v>24</v>
      </c>
      <c r="Q30" s="62">
        <f>TRUNC(M30,0)</f>
        <v>7</v>
      </c>
      <c r="R30" s="31"/>
      <c r="S30" s="57" t="s">
        <v>106</v>
      </c>
      <c r="T30" s="62">
        <f>(M30-Q30)*1000</f>
        <v>86.999999999999744</v>
      </c>
      <c r="U30" s="31">
        <f>TRUNC((M30-Q30*1000)/10,0)</f>
        <v>-699</v>
      </c>
      <c r="V30" s="31">
        <f t="shared" si="3"/>
        <v>-699</v>
      </c>
      <c r="W30" s="57" t="s">
        <v>107</v>
      </c>
      <c r="X30" s="62">
        <v>0</v>
      </c>
      <c r="Y30" s="31">
        <f>TRUNC(M30-R30*10000-V30*10)</f>
        <v>6997</v>
      </c>
      <c r="Z30" s="31">
        <f t="shared" si="4"/>
        <v>6997</v>
      </c>
      <c r="AA30" s="57" t="s">
        <v>108</v>
      </c>
      <c r="AB30" s="62">
        <v>0</v>
      </c>
      <c r="AC30" s="31">
        <f>TRUNC(M30*10-R30*100000-V30*100-Z30*10)</f>
        <v>0</v>
      </c>
      <c r="AD30" s="31">
        <f>TRUNC(AC30,0)</f>
        <v>0</v>
      </c>
      <c r="AE30" s="57" t="s">
        <v>109</v>
      </c>
      <c r="AG30" s="31"/>
      <c r="AH30" s="31"/>
      <c r="AI30" s="57"/>
    </row>
    <row r="31" spans="1:36" ht="18.75" x14ac:dyDescent="0.3">
      <c r="A31" s="11" t="s">
        <v>16</v>
      </c>
      <c r="B31" s="57">
        <f>$G$18+1540</f>
        <v>1543</v>
      </c>
      <c r="C31" s="57" t="s">
        <v>109</v>
      </c>
      <c r="D31" s="9" t="s">
        <v>24</v>
      </c>
      <c r="E31" s="97">
        <f>B31/1000</f>
        <v>1.5429999999999999</v>
      </c>
      <c r="F31" s="97"/>
      <c r="G31" s="57" t="s">
        <v>107</v>
      </c>
      <c r="H31">
        <f>B31/1000</f>
        <v>1.5429999999999999</v>
      </c>
      <c r="I31" s="38" t="str">
        <f t="shared" si="5"/>
        <v>richtig</v>
      </c>
      <c r="J31" s="27"/>
      <c r="L31" s="11" t="s">
        <v>35</v>
      </c>
      <c r="M31" s="101">
        <f>2362.8+T18</f>
        <v>2365.8000000000002</v>
      </c>
      <c r="N31" s="101"/>
      <c r="O31" s="57" t="s">
        <v>108</v>
      </c>
      <c r="P31" s="9" t="s">
        <v>24</v>
      </c>
      <c r="Q31" s="62">
        <v>0</v>
      </c>
      <c r="R31" s="31"/>
      <c r="S31" s="57" t="s">
        <v>106</v>
      </c>
      <c r="T31" s="62">
        <f>TRUNC((M31/100),0)</f>
        <v>23</v>
      </c>
      <c r="U31" s="31">
        <f>TRUNC((M31-R31*100000)/100)</f>
        <v>23</v>
      </c>
      <c r="V31" s="31">
        <f t="shared" si="3"/>
        <v>23</v>
      </c>
      <c r="W31" s="57" t="s">
        <v>107</v>
      </c>
      <c r="X31" s="62">
        <f>TRUNC((M31-T31*100),0)</f>
        <v>65</v>
      </c>
      <c r="Y31" s="31">
        <f>TRUNC((M31-R31*100000-V31*100)/10)</f>
        <v>6</v>
      </c>
      <c r="Z31" s="31">
        <f t="shared" si="4"/>
        <v>6</v>
      </c>
      <c r="AA31" s="57" t="s">
        <v>108</v>
      </c>
      <c r="AB31" s="63">
        <f>((M31/100-T31)*100-X31)*10</f>
        <v>8.0000000000012506</v>
      </c>
      <c r="AC31" s="31">
        <f>TRUNC(M31-R31*100000-V31*100-Z31*10)</f>
        <v>5</v>
      </c>
      <c r="AD31" s="31">
        <f>TRUNC(AC31,0)</f>
        <v>5</v>
      </c>
      <c r="AE31" s="57" t="s">
        <v>109</v>
      </c>
      <c r="AG31" s="31"/>
      <c r="AH31" s="31"/>
      <c r="AI31" s="57"/>
    </row>
    <row r="32" spans="1:36" ht="18.75" x14ac:dyDescent="0.3">
      <c r="A32" s="11" t="s">
        <v>17</v>
      </c>
      <c r="B32" s="57">
        <f>$G$18+2300</f>
        <v>2303</v>
      </c>
      <c r="C32" s="57" t="s">
        <v>107</v>
      </c>
      <c r="D32" s="9" t="s">
        <v>24</v>
      </c>
      <c r="E32" s="97">
        <f>B32/1000</f>
        <v>2.3029999999999999</v>
      </c>
      <c r="F32" s="97"/>
      <c r="G32" s="57" t="s">
        <v>106</v>
      </c>
      <c r="H32">
        <f>B32/1000</f>
        <v>2.3029999999999999</v>
      </c>
      <c r="I32" s="38" t="str">
        <f t="shared" si="5"/>
        <v>richtig</v>
      </c>
      <c r="J32" s="27"/>
      <c r="L32" s="11" t="s">
        <v>36</v>
      </c>
      <c r="M32" s="101">
        <f>9452+T18</f>
        <v>9455</v>
      </c>
      <c r="N32" s="101"/>
      <c r="O32" s="57" t="s">
        <v>109</v>
      </c>
      <c r="P32" s="9" t="s">
        <v>24</v>
      </c>
      <c r="Q32" s="62">
        <v>0</v>
      </c>
      <c r="R32" s="31"/>
      <c r="S32" s="57" t="s">
        <v>106</v>
      </c>
      <c r="T32" s="62">
        <f>TRUNC(M32/1000,0)</f>
        <v>9</v>
      </c>
      <c r="U32" s="31">
        <f>TRUNC((M32-R32*1000000)/1000)</f>
        <v>9</v>
      </c>
      <c r="V32" s="31">
        <f t="shared" si="3"/>
        <v>9</v>
      </c>
      <c r="W32" s="57" t="s">
        <v>107</v>
      </c>
      <c r="X32" s="62">
        <f>TRUNC((M32/1000-T32)*100,0)</f>
        <v>45</v>
      </c>
      <c r="Y32" s="31">
        <f>TRUNC((M32-R32*100000-V32*1000)/100)</f>
        <v>4</v>
      </c>
      <c r="Z32" s="31">
        <f t="shared" si="4"/>
        <v>4</v>
      </c>
      <c r="AA32" s="57" t="s">
        <v>108</v>
      </c>
      <c r="AB32" s="62">
        <f>(M32/1000-T32-X32/100)*1000</f>
        <v>5.0000000000000604</v>
      </c>
      <c r="AC32" s="31">
        <f>TRUNC((M32-R32*100000-V32*1000-Z32*100)/10)</f>
        <v>5</v>
      </c>
      <c r="AD32" s="31">
        <f>TRUNC(AC32,0)</f>
        <v>5</v>
      </c>
      <c r="AE32" s="57" t="s">
        <v>109</v>
      </c>
      <c r="AG32" s="31"/>
      <c r="AH32" s="31"/>
      <c r="AI32" s="57"/>
    </row>
    <row r="33" spans="1:35" ht="18.75" x14ac:dyDescent="0.3">
      <c r="A33" s="11" t="s">
        <v>18</v>
      </c>
      <c r="B33" s="57">
        <f>$G$18+1886</f>
        <v>1889</v>
      </c>
      <c r="C33" s="57" t="s">
        <v>108</v>
      </c>
      <c r="D33" s="9" t="s">
        <v>24</v>
      </c>
      <c r="E33" s="97">
        <f>B33/100</f>
        <v>18.89</v>
      </c>
      <c r="F33" s="97"/>
      <c r="G33" s="57" t="s">
        <v>107</v>
      </c>
      <c r="H33">
        <f>B33/100</f>
        <v>18.89</v>
      </c>
      <c r="I33" s="38" t="str">
        <f t="shared" si="5"/>
        <v>richtig</v>
      </c>
      <c r="J33" s="27"/>
      <c r="L33" s="11" t="s">
        <v>37</v>
      </c>
      <c r="M33" s="101">
        <f>2.43236+T18</f>
        <v>5.4323600000000001</v>
      </c>
      <c r="N33" s="101"/>
      <c r="O33" s="57" t="s">
        <v>106</v>
      </c>
      <c r="P33" s="9" t="s">
        <v>24</v>
      </c>
      <c r="Q33" s="62">
        <f>TRUNC(M33,0)</f>
        <v>5</v>
      </c>
      <c r="R33" s="31"/>
      <c r="S33" s="57" t="s">
        <v>106</v>
      </c>
      <c r="T33" s="62">
        <f>TRUNC((M33-Q33)*1000,0)</f>
        <v>432</v>
      </c>
      <c r="U33" s="31">
        <f>TRUNC(M33-R33*1000)</f>
        <v>5</v>
      </c>
      <c r="V33" s="31">
        <f t="shared" si="3"/>
        <v>5</v>
      </c>
      <c r="W33" s="57" t="s">
        <v>107</v>
      </c>
      <c r="X33" s="62">
        <f>((M33-Q33)-T33/1000)*100000</f>
        <v>36.000000000008249</v>
      </c>
      <c r="Y33" s="31">
        <f>TRUNC(M33*10-R33*10000-V33*10)</f>
        <v>4</v>
      </c>
      <c r="Z33" s="31">
        <f t="shared" si="4"/>
        <v>4</v>
      </c>
      <c r="AA33" s="57" t="s">
        <v>108</v>
      </c>
      <c r="AB33" s="62">
        <v>0</v>
      </c>
      <c r="AC33" s="31">
        <f>TRUNC(M33*100-R33*100000-V33*100-Z33*10)</f>
        <v>3</v>
      </c>
      <c r="AD33" s="31">
        <f>TRUNC(AC33,0)</f>
        <v>3</v>
      </c>
      <c r="AE33" s="57" t="s">
        <v>109</v>
      </c>
      <c r="AG33" s="31"/>
      <c r="AH33" s="31"/>
      <c r="AI33" s="57"/>
    </row>
    <row r="34" spans="1:35" ht="18.75" x14ac:dyDescent="0.3">
      <c r="A34" s="11" t="s">
        <v>19</v>
      </c>
      <c r="B34" s="57">
        <f>$G$18+764</f>
        <v>767</v>
      </c>
      <c r="C34" s="57" t="s">
        <v>109</v>
      </c>
      <c r="D34" s="9" t="s">
        <v>24</v>
      </c>
      <c r="E34" s="97">
        <f>B34/1000</f>
        <v>0.76700000000000002</v>
      </c>
      <c r="F34" s="97"/>
      <c r="G34" s="57" t="s">
        <v>107</v>
      </c>
      <c r="H34">
        <f>B34/1000</f>
        <v>0.76700000000000002</v>
      </c>
      <c r="I34" s="38" t="str">
        <f t="shared" si="5"/>
        <v>richtig</v>
      </c>
      <c r="J34" s="27"/>
      <c r="L34" s="11"/>
      <c r="M34" s="91"/>
      <c r="N34" s="91"/>
      <c r="O34" s="51"/>
      <c r="P34" s="9"/>
      <c r="R34" s="31"/>
      <c r="S34" s="51"/>
      <c r="U34" s="31"/>
      <c r="V34" s="31"/>
      <c r="W34" s="51"/>
      <c r="Y34" s="31"/>
      <c r="Z34" s="31"/>
      <c r="AA34" s="51"/>
      <c r="AC34" s="31"/>
      <c r="AD34" s="31"/>
      <c r="AE34" s="51"/>
      <c r="AG34" s="31"/>
      <c r="AH34" s="31"/>
      <c r="AI34" s="51"/>
    </row>
    <row r="35" spans="1:35" ht="18.75" x14ac:dyDescent="0.3">
      <c r="A35" s="11"/>
      <c r="B35" s="57"/>
      <c r="C35" s="57"/>
      <c r="D35" s="9"/>
      <c r="G35" s="57"/>
      <c r="J35" s="27"/>
      <c r="L35" s="11"/>
      <c r="M35" s="91"/>
      <c r="N35" s="91"/>
      <c r="O35" s="51"/>
      <c r="P35" s="93" t="s">
        <v>44</v>
      </c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G35" s="31"/>
      <c r="AH35" s="31"/>
      <c r="AI35" s="51"/>
    </row>
    <row r="36" spans="1:35" ht="18.75" x14ac:dyDescent="0.3">
      <c r="A36" s="11"/>
      <c r="B36" s="57"/>
      <c r="C36" s="57"/>
      <c r="D36" s="9"/>
      <c r="G36" s="57"/>
      <c r="J36" s="13"/>
    </row>
    <row r="37" spans="1:35" ht="18.75" x14ac:dyDescent="0.3">
      <c r="A37" s="11"/>
      <c r="B37" s="51"/>
      <c r="C37" s="51"/>
      <c r="D37" s="51"/>
      <c r="E37" s="51"/>
      <c r="F37" s="51"/>
      <c r="G37" s="5"/>
      <c r="H37" s="5"/>
      <c r="I37" s="5"/>
      <c r="J37" s="13"/>
    </row>
    <row r="38" spans="1:35" ht="15.75" x14ac:dyDescent="0.25">
      <c r="J38" s="5"/>
      <c r="L38" s="5"/>
      <c r="N38" s="5"/>
    </row>
    <row r="39" spans="1:35" ht="15.75" x14ac:dyDescent="0.25">
      <c r="A39" s="5"/>
      <c r="B39" s="5"/>
      <c r="C39" s="5"/>
      <c r="D39" s="5"/>
      <c r="E39" s="5"/>
      <c r="F39" s="5"/>
      <c r="G39" s="5"/>
      <c r="I39" s="5"/>
      <c r="J39" s="5"/>
      <c r="L39" s="5"/>
      <c r="M39" s="5"/>
      <c r="N39" s="32"/>
      <c r="O39" s="32"/>
    </row>
    <row r="40" spans="1:35" ht="18.75" x14ac:dyDescent="0.3">
      <c r="A40" s="10"/>
      <c r="B40" s="4"/>
      <c r="C40" s="4"/>
      <c r="D40" s="4"/>
      <c r="E40" s="4"/>
      <c r="F40" s="5"/>
      <c r="G40" s="5"/>
      <c r="H40" s="5"/>
      <c r="I40" s="5"/>
      <c r="J40" s="5"/>
      <c r="L40" s="5"/>
      <c r="M40" s="5"/>
      <c r="N40" s="5"/>
    </row>
    <row r="41" spans="1:35" ht="18.75" x14ac:dyDescent="0.3">
      <c r="A41" s="10"/>
      <c r="B41" s="5"/>
      <c r="C41" s="5"/>
      <c r="D41" s="5"/>
      <c r="E41" s="5"/>
      <c r="F41" s="5"/>
      <c r="G41" s="5"/>
      <c r="H41" s="5"/>
      <c r="I41" s="5"/>
      <c r="J41" s="5"/>
      <c r="L41" s="5"/>
      <c r="M41" s="5"/>
      <c r="N41" s="5"/>
    </row>
    <row r="42" spans="1:35" ht="15.75" x14ac:dyDescent="0.25">
      <c r="B42" s="5"/>
      <c r="C42" s="5"/>
      <c r="D42" s="5"/>
      <c r="E42" s="5"/>
      <c r="F42" s="5"/>
      <c r="G42" s="5"/>
      <c r="H42" s="5"/>
      <c r="I42" s="5"/>
      <c r="J42" s="5"/>
      <c r="L42" s="5"/>
      <c r="M42" s="5"/>
      <c r="N42" s="5"/>
    </row>
    <row r="43" spans="1:35" ht="18.75" x14ac:dyDescent="0.3">
      <c r="A43" s="11"/>
    </row>
    <row r="44" spans="1:35" ht="18.75" x14ac:dyDescent="0.3">
      <c r="A44" s="11"/>
    </row>
    <row r="45" spans="1:35" ht="18.75" x14ac:dyDescent="0.3">
      <c r="A45" s="11"/>
      <c r="P45" s="5"/>
      <c r="Q45" s="5"/>
      <c r="R45" s="5"/>
      <c r="S45" s="5"/>
    </row>
    <row r="46" spans="1:35" ht="18.75" x14ac:dyDescent="0.3">
      <c r="A46" s="11"/>
      <c r="P46" s="5"/>
      <c r="Q46" s="5"/>
      <c r="R46" s="5"/>
      <c r="S46" s="5"/>
    </row>
    <row r="47" spans="1:35" ht="18.75" x14ac:dyDescent="0.3">
      <c r="A47" s="11"/>
      <c r="P47" s="5"/>
      <c r="Q47" s="5"/>
      <c r="R47" s="5"/>
      <c r="S47" s="5"/>
    </row>
    <row r="48" spans="1:35" ht="18.75" x14ac:dyDescent="0.3">
      <c r="A48" s="11"/>
      <c r="P48" s="5"/>
      <c r="Q48" s="5"/>
      <c r="R48" s="5"/>
      <c r="S48" s="5"/>
    </row>
    <row r="49" spans="1:19" ht="18.75" x14ac:dyDescent="0.3">
      <c r="A49" s="11"/>
      <c r="P49" s="5"/>
      <c r="Q49" s="5"/>
      <c r="R49" s="5"/>
      <c r="S49" s="5"/>
    </row>
    <row r="50" spans="1:19" ht="18.75" x14ac:dyDescent="0.3">
      <c r="A50" s="11"/>
      <c r="P50" s="5"/>
      <c r="Q50" s="5"/>
      <c r="R50" s="5"/>
      <c r="S50" s="5"/>
    </row>
    <row r="51" spans="1:19" ht="15.75" x14ac:dyDescent="0.25">
      <c r="P51" s="5"/>
      <c r="Q51" s="5"/>
      <c r="R51" s="5"/>
      <c r="S51" s="5"/>
    </row>
    <row r="52" spans="1:19" ht="15.75" x14ac:dyDescent="0.25">
      <c r="P52" s="5"/>
      <c r="Q52" s="5"/>
      <c r="R52" s="5"/>
      <c r="S52" s="5"/>
    </row>
    <row r="53" spans="1:19" ht="18.75" x14ac:dyDescent="0.3">
      <c r="A53" s="14"/>
      <c r="B53" s="5"/>
      <c r="C53" s="5"/>
      <c r="E53" s="5"/>
      <c r="G53" s="5"/>
      <c r="J53" s="5"/>
      <c r="L53" s="5"/>
      <c r="M53" s="5"/>
      <c r="O53" s="5"/>
      <c r="P53" s="5"/>
      <c r="Q53" s="5"/>
      <c r="R53" s="5"/>
      <c r="S53" s="5"/>
    </row>
    <row r="54" spans="1:19" ht="18.75" x14ac:dyDescent="0.3">
      <c r="A54" s="11"/>
      <c r="B54" s="5"/>
      <c r="C54" s="5"/>
      <c r="E54" s="5"/>
      <c r="G54" s="5"/>
      <c r="J54" s="5"/>
      <c r="L54" s="5"/>
      <c r="M54" s="5"/>
      <c r="O54" s="5"/>
      <c r="P54" s="5"/>
      <c r="Q54" s="5"/>
      <c r="R54" s="5"/>
      <c r="S54" s="5"/>
    </row>
    <row r="55" spans="1:19" ht="18.75" x14ac:dyDescent="0.3">
      <c r="A55" s="11"/>
      <c r="B55" s="5"/>
      <c r="C55" s="5"/>
      <c r="E55" s="5"/>
      <c r="G55" s="5"/>
      <c r="J55" s="5"/>
      <c r="L55" s="5"/>
      <c r="M55" s="5"/>
      <c r="O55" s="5"/>
      <c r="P55" s="5"/>
      <c r="Q55" s="5"/>
      <c r="R55" s="5"/>
      <c r="S55" s="5"/>
    </row>
    <row r="56" spans="1:19" ht="18.75" x14ac:dyDescent="0.3">
      <c r="A56" s="11"/>
      <c r="B56" s="5"/>
      <c r="C56" s="5"/>
      <c r="E56" s="5"/>
      <c r="G56" s="5"/>
      <c r="J56" s="5"/>
      <c r="L56" s="5"/>
      <c r="M56" s="5"/>
      <c r="O56" s="5"/>
      <c r="P56" s="5"/>
      <c r="Q56" s="5"/>
      <c r="R56" s="5"/>
      <c r="S56" s="5"/>
    </row>
    <row r="57" spans="1:19" ht="18.75" x14ac:dyDescent="0.3">
      <c r="A57" s="11"/>
      <c r="B57" s="5"/>
      <c r="C57" s="5"/>
      <c r="E57" s="5"/>
      <c r="G57" s="5"/>
      <c r="J57" s="5"/>
      <c r="L57" s="5"/>
      <c r="M57" s="5"/>
      <c r="O57" s="5"/>
      <c r="P57" s="5"/>
      <c r="Q57" s="5"/>
      <c r="R57" s="5"/>
      <c r="S57" s="5"/>
    </row>
    <row r="58" spans="1:19" ht="18.75" x14ac:dyDescent="0.3">
      <c r="A58" s="11"/>
      <c r="B58" s="5"/>
      <c r="C58" s="5"/>
      <c r="E58" s="5"/>
      <c r="G58" s="5"/>
      <c r="J58" s="5"/>
      <c r="L58" s="5"/>
      <c r="M58" s="5"/>
      <c r="O58" s="5"/>
      <c r="P58" s="5"/>
      <c r="Q58" s="5"/>
      <c r="R58" s="5"/>
      <c r="S58" s="5"/>
    </row>
    <row r="59" spans="1:19" ht="18.75" x14ac:dyDescent="0.3">
      <c r="A59" s="11"/>
      <c r="B59" s="5"/>
      <c r="C59" s="5"/>
      <c r="E59" s="5"/>
      <c r="G59" s="5"/>
      <c r="J59" s="5"/>
      <c r="L59" s="5"/>
      <c r="M59" s="5"/>
      <c r="O59" s="5"/>
      <c r="P59" s="5"/>
      <c r="Q59" s="5"/>
      <c r="R59" s="5"/>
      <c r="S59" s="5"/>
    </row>
    <row r="60" spans="1:19" ht="18.75" x14ac:dyDescent="0.3">
      <c r="A60" s="11"/>
      <c r="B60" s="5"/>
      <c r="C60" s="5"/>
      <c r="E60" s="5"/>
      <c r="G60" s="5"/>
      <c r="J60" s="5"/>
      <c r="L60" s="5"/>
      <c r="M60" s="5"/>
      <c r="O60" s="5"/>
      <c r="P60" s="5"/>
      <c r="Q60" s="5"/>
      <c r="R60" s="5"/>
      <c r="S60" s="5"/>
    </row>
    <row r="61" spans="1:19" ht="15.75" x14ac:dyDescent="0.25">
      <c r="A61" s="5"/>
      <c r="B61" s="5"/>
      <c r="C61" s="5"/>
      <c r="D61" s="5"/>
      <c r="E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spans="1:19" ht="18.75" x14ac:dyDescent="0.3">
      <c r="A62" s="10"/>
      <c r="B62" s="4"/>
      <c r="C62" s="4"/>
      <c r="D62" s="4"/>
      <c r="E62" s="4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spans="1:19" ht="15.75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1:19" ht="18.75" x14ac:dyDescent="0.3">
      <c r="A64" s="11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pans="1:19" ht="18.75" x14ac:dyDescent="0.3">
      <c r="A65" s="11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1:19" ht="18.75" x14ac:dyDescent="0.3">
      <c r="A66" s="11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spans="1:19" ht="18.75" x14ac:dyDescent="0.3">
      <c r="A67" s="11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1:19" ht="18.75" x14ac:dyDescent="0.3">
      <c r="A68" s="11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1:19" ht="18.75" x14ac:dyDescent="0.3">
      <c r="A69" s="11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spans="1:19" ht="18.75" x14ac:dyDescent="0.3">
      <c r="A70" s="11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1:19" ht="18.75" x14ac:dyDescent="0.3">
      <c r="A71" s="11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pans="1:19" ht="18.75" x14ac:dyDescent="0.3">
      <c r="A72" s="11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19" ht="18.75" x14ac:dyDescent="0.3">
      <c r="A73" s="11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1:19" ht="18.75" x14ac:dyDescent="0.3">
      <c r="A74" s="11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19" ht="18.75" x14ac:dyDescent="0.3">
      <c r="A75" s="11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pans="1:19" ht="18.75" x14ac:dyDescent="0.3">
      <c r="A76" s="11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1:19" ht="18.75" x14ac:dyDescent="0.3">
      <c r="A77" s="11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pans="1:19" ht="18.75" x14ac:dyDescent="0.3">
      <c r="A78" s="11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pans="1:19" ht="18.75" x14ac:dyDescent="0.3">
      <c r="A79" s="11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1:19" ht="18.75" x14ac:dyDescent="0.3">
      <c r="A80" s="11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pans="1:19" ht="18.75" x14ac:dyDescent="0.3">
      <c r="A81" s="11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</sheetData>
  <sheetProtection password="C7EC" sheet="1" objects="1" scenarios="1"/>
  <mergeCells count="35">
    <mergeCell ref="M32:N32"/>
    <mergeCell ref="M33:N33"/>
    <mergeCell ref="AB20:AE20"/>
    <mergeCell ref="AB21:AE21"/>
    <mergeCell ref="AB22:AE22"/>
    <mergeCell ref="AB23:AE23"/>
    <mergeCell ref="AB24:AE24"/>
    <mergeCell ref="AB25:AE25"/>
    <mergeCell ref="M30:N30"/>
    <mergeCell ref="M31:N31"/>
    <mergeCell ref="M28:N28"/>
    <mergeCell ref="M29:N29"/>
    <mergeCell ref="A18:F18"/>
    <mergeCell ref="L18:S18"/>
    <mergeCell ref="E20:F20"/>
    <mergeCell ref="A1:AI2"/>
    <mergeCell ref="B4:G4"/>
    <mergeCell ref="C11:D11"/>
    <mergeCell ref="L11:M11"/>
    <mergeCell ref="L12:M12"/>
    <mergeCell ref="L13:M13"/>
    <mergeCell ref="E32:F32"/>
    <mergeCell ref="E21:F21"/>
    <mergeCell ref="E22:F22"/>
    <mergeCell ref="E23:F23"/>
    <mergeCell ref="E24:F24"/>
    <mergeCell ref="E25:F25"/>
    <mergeCell ref="E29:F29"/>
    <mergeCell ref="E30:F30"/>
    <mergeCell ref="E31:F31"/>
    <mergeCell ref="E33:F33"/>
    <mergeCell ref="E34:F34"/>
    <mergeCell ref="M34:N34"/>
    <mergeCell ref="M35:N35"/>
    <mergeCell ref="P35:AE35"/>
  </mergeCells>
  <conditionalFormatting sqref="I20:I25 I29:I34">
    <cfRule type="containsText" dxfId="17" priority="4" operator="containsText" text="falsch">
      <formula>NOT(ISERROR(SEARCH("falsch",I20)))</formula>
    </cfRule>
    <cfRule type="containsText" dxfId="16" priority="5" operator="containsText" text="richtig">
      <formula>NOT(ISERROR(SEARCH("richtig",I20)))</formula>
    </cfRule>
    <cfRule type="containsText" dxfId="15" priority="6" operator="containsText" text="x">
      <formula>NOT(ISERROR(SEARCH("x",I20)))</formula>
    </cfRule>
  </conditionalFormatting>
  <conditionalFormatting sqref="AJ20:AJ25">
    <cfRule type="containsText" dxfId="14" priority="1" operator="containsText" text="falsch">
      <formula>NOT(ISERROR(SEARCH("falsch",AJ20)))</formula>
    </cfRule>
    <cfRule type="containsText" dxfId="13" priority="2" operator="containsText" text="richtig">
      <formula>NOT(ISERROR(SEARCH("richtig",AJ20)))</formula>
    </cfRule>
    <cfRule type="containsText" dxfId="12" priority="3" operator="containsText" text="x">
      <formula>NOT(ISERROR(SEARCH("x",AJ20)))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4"/>
  <sheetViews>
    <sheetView topLeftCell="A4" workbookViewId="0">
      <selection activeCell="L16" sqref="L16"/>
    </sheetView>
  </sheetViews>
  <sheetFormatPr baseColWidth="10" defaultRowHeight="15" x14ac:dyDescent="0.25"/>
  <cols>
    <col min="1" max="1" width="7.42578125" customWidth="1"/>
    <col min="2" max="2" width="6" bestFit="1" customWidth="1"/>
    <col min="3" max="3" width="5.140625" customWidth="1"/>
    <col min="4" max="4" width="5.42578125" customWidth="1"/>
    <col min="6" max="6" width="5.140625" customWidth="1"/>
    <col min="7" max="7" width="5.42578125" customWidth="1"/>
    <col min="9" max="9" width="11.42578125" hidden="1" customWidth="1"/>
    <col min="10" max="10" width="11.42578125" customWidth="1"/>
    <col min="13" max="13" width="6.7109375" customWidth="1"/>
    <col min="14" max="14" width="5.85546875" customWidth="1"/>
    <col min="15" max="15" width="7.5703125" customWidth="1"/>
    <col min="16" max="16" width="8.140625" customWidth="1"/>
    <col min="17" max="17" width="8" customWidth="1"/>
    <col min="18" max="18" width="11" customWidth="1"/>
    <col min="19" max="19" width="7" customWidth="1"/>
    <col min="21" max="21" width="12.140625" hidden="1" customWidth="1"/>
  </cols>
  <sheetData>
    <row r="1" spans="1:20" ht="15" customHeight="1" x14ac:dyDescent="0.25">
      <c r="A1" s="86" t="s">
        <v>113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</row>
    <row r="2" spans="1:20" ht="15" customHeigh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</row>
    <row r="4" spans="1:20" ht="18.75" x14ac:dyDescent="0.3">
      <c r="A4" s="10" t="s">
        <v>7</v>
      </c>
      <c r="B4" s="4"/>
      <c r="C4" s="4"/>
      <c r="D4" s="4"/>
      <c r="E4" s="4"/>
      <c r="F4" s="4"/>
      <c r="G4" s="5"/>
    </row>
    <row r="5" spans="1:20" ht="15.75" x14ac:dyDescent="0.25">
      <c r="A5" s="87" t="s">
        <v>42</v>
      </c>
      <c r="B5" s="87"/>
      <c r="C5" s="87"/>
      <c r="D5" s="87"/>
      <c r="E5" s="87"/>
      <c r="F5" s="87"/>
      <c r="G5" s="87"/>
    </row>
    <row r="7" spans="1:20" ht="18.75" x14ac:dyDescent="0.3">
      <c r="F7" s="12" t="s">
        <v>114</v>
      </c>
      <c r="G7" s="12" t="s">
        <v>115</v>
      </c>
      <c r="K7" s="2"/>
      <c r="L7" s="12"/>
    </row>
    <row r="8" spans="1:20" ht="17.25" x14ac:dyDescent="0.25">
      <c r="K8" s="5"/>
      <c r="L8" s="1"/>
    </row>
    <row r="9" spans="1:20" ht="15.75" x14ac:dyDescent="0.25">
      <c r="F9" s="85"/>
      <c r="G9" s="85"/>
    </row>
    <row r="12" spans="1:20" ht="15.75" x14ac:dyDescent="0.25">
      <c r="B12" s="79">
        <v>1</v>
      </c>
      <c r="C12" s="24" t="s">
        <v>24</v>
      </c>
      <c r="D12" s="58"/>
      <c r="E12" s="23" t="s">
        <v>115</v>
      </c>
    </row>
    <row r="15" spans="1:20" ht="18.75" x14ac:dyDescent="0.3">
      <c r="A15" s="10" t="s">
        <v>6</v>
      </c>
    </row>
    <row r="17" spans="1:29" ht="15.75" x14ac:dyDescent="0.25">
      <c r="B17" s="88" t="s">
        <v>116</v>
      </c>
      <c r="C17" s="88"/>
      <c r="D17" s="88"/>
      <c r="E17" s="88"/>
      <c r="F17" s="88"/>
      <c r="G17" s="88"/>
      <c r="H17" s="34">
        <v>8</v>
      </c>
    </row>
    <row r="18" spans="1:29" ht="15.75" x14ac:dyDescent="0.25">
      <c r="B18" s="80"/>
      <c r="C18" s="80"/>
      <c r="D18" s="80"/>
      <c r="E18" s="80"/>
      <c r="F18" s="80"/>
      <c r="G18" s="80"/>
      <c r="H18" s="80"/>
    </row>
    <row r="19" spans="1:29" x14ac:dyDescent="0.25">
      <c r="H19" s="39" t="s">
        <v>45</v>
      </c>
      <c r="I19" s="81"/>
      <c r="J19" s="81"/>
      <c r="T19" s="39" t="s">
        <v>45</v>
      </c>
    </row>
    <row r="20" spans="1:29" ht="18.75" x14ac:dyDescent="0.3">
      <c r="A20" s="11" t="s">
        <v>8</v>
      </c>
      <c r="B20">
        <f>1+H17</f>
        <v>9</v>
      </c>
      <c r="C20" s="23" t="s">
        <v>114</v>
      </c>
      <c r="D20" s="24" t="s">
        <v>24</v>
      </c>
      <c r="E20" s="58"/>
      <c r="F20" s="23" t="s">
        <v>115</v>
      </c>
      <c r="H20" s="38" t="str">
        <f>IF(E20="","x",IF(E20=I20,"richtig","falsch"))</f>
        <v>x</v>
      </c>
      <c r="I20" s="82">
        <f>B20*100</f>
        <v>900</v>
      </c>
      <c r="J20" s="82"/>
      <c r="L20" s="11" t="s">
        <v>26</v>
      </c>
      <c r="M20" s="23">
        <v>3</v>
      </c>
      <c r="N20" s="23" t="s">
        <v>114</v>
      </c>
      <c r="O20" s="23">
        <f>25+H17</f>
        <v>33</v>
      </c>
      <c r="P20" s="23" t="s">
        <v>115</v>
      </c>
      <c r="Q20" s="24" t="s">
        <v>24</v>
      </c>
      <c r="R20" s="58"/>
      <c r="S20" s="23" t="s">
        <v>115</v>
      </c>
      <c r="T20" s="38" t="str">
        <f>IF(R20="","x",IF(R20=U20,"richtig","falsch"))</f>
        <v>x</v>
      </c>
      <c r="U20" s="23">
        <f>M20*100+O20</f>
        <v>333</v>
      </c>
    </row>
    <row r="21" spans="1:29" ht="18.75" x14ac:dyDescent="0.3">
      <c r="A21" s="11" t="s">
        <v>9</v>
      </c>
      <c r="B21">
        <f>4+H17</f>
        <v>12</v>
      </c>
      <c r="C21" s="23" t="s">
        <v>114</v>
      </c>
      <c r="D21" s="24" t="s">
        <v>24</v>
      </c>
      <c r="E21" s="58"/>
      <c r="F21" s="23" t="s">
        <v>115</v>
      </c>
      <c r="H21" s="38" t="str">
        <f t="shared" ref="H21:H29" si="0">IF(E21="","x",IF(E21=I21,"richtig","falsch"))</f>
        <v>x</v>
      </c>
      <c r="I21" s="82">
        <f>B21*100</f>
        <v>1200</v>
      </c>
      <c r="J21" s="82"/>
      <c r="L21" s="11" t="s">
        <v>27</v>
      </c>
      <c r="M21" s="23">
        <f>4+H17</f>
        <v>12</v>
      </c>
      <c r="N21" s="23" t="s">
        <v>114</v>
      </c>
      <c r="O21" s="23">
        <v>75</v>
      </c>
      <c r="P21" s="23" t="s">
        <v>115</v>
      </c>
      <c r="Q21" s="24" t="s">
        <v>24</v>
      </c>
      <c r="R21" s="58"/>
      <c r="S21" s="23" t="s">
        <v>114</v>
      </c>
      <c r="T21" s="38" t="str">
        <f t="shared" ref="T21:T23" si="1">IF(R21="","x",IF(R21=U21,"richtig","falsch"))</f>
        <v>x</v>
      </c>
      <c r="U21" s="23">
        <f>M21+O21/100</f>
        <v>12.75</v>
      </c>
    </row>
    <row r="22" spans="1:29" ht="18.75" x14ac:dyDescent="0.3">
      <c r="A22" s="11" t="s">
        <v>10</v>
      </c>
      <c r="B22">
        <f>2.4+H17</f>
        <v>10.4</v>
      </c>
      <c r="C22" s="23" t="s">
        <v>114</v>
      </c>
      <c r="D22" s="24" t="s">
        <v>24</v>
      </c>
      <c r="E22" s="58"/>
      <c r="F22" s="23" t="s">
        <v>115</v>
      </c>
      <c r="H22" s="38" t="str">
        <f t="shared" si="0"/>
        <v>x</v>
      </c>
      <c r="I22" s="82">
        <f>B22*100</f>
        <v>1040</v>
      </c>
      <c r="J22" s="82"/>
      <c r="L22" s="11" t="s">
        <v>28</v>
      </c>
      <c r="M22" s="23">
        <f>1+H17</f>
        <v>9</v>
      </c>
      <c r="N22" s="23" t="s">
        <v>114</v>
      </c>
      <c r="O22" s="23">
        <v>49</v>
      </c>
      <c r="P22" s="23" t="s">
        <v>115</v>
      </c>
      <c r="Q22" s="24" t="s">
        <v>24</v>
      </c>
      <c r="R22" s="58"/>
      <c r="S22" s="23" t="s">
        <v>115</v>
      </c>
      <c r="T22" s="38" t="str">
        <f t="shared" si="1"/>
        <v>x</v>
      </c>
      <c r="U22" s="23">
        <f>M22*100+O22</f>
        <v>949</v>
      </c>
    </row>
    <row r="23" spans="1:29" ht="18.75" x14ac:dyDescent="0.3">
      <c r="A23" s="11" t="s">
        <v>11</v>
      </c>
      <c r="B23">
        <f>45.6+H17</f>
        <v>53.6</v>
      </c>
      <c r="C23" s="23" t="s">
        <v>114</v>
      </c>
      <c r="D23" s="24" t="s">
        <v>24</v>
      </c>
      <c r="E23" s="58"/>
      <c r="F23" s="23" t="s">
        <v>115</v>
      </c>
      <c r="H23" s="38" t="str">
        <f t="shared" si="0"/>
        <v>x</v>
      </c>
      <c r="I23" s="82">
        <f>B23*100</f>
        <v>5360</v>
      </c>
      <c r="J23" s="82"/>
      <c r="L23" s="11" t="s">
        <v>29</v>
      </c>
      <c r="M23" s="23">
        <v>246</v>
      </c>
      <c r="N23" s="23" t="s">
        <v>114</v>
      </c>
      <c r="O23" s="23">
        <f>55+H17</f>
        <v>63</v>
      </c>
      <c r="P23" s="23" t="s">
        <v>115</v>
      </c>
      <c r="Q23" s="24" t="s">
        <v>24</v>
      </c>
      <c r="R23" s="58"/>
      <c r="S23" s="83" t="s">
        <v>114</v>
      </c>
      <c r="T23" s="38" t="str">
        <f t="shared" si="1"/>
        <v>x</v>
      </c>
      <c r="U23" s="23">
        <f>M23+O23/100</f>
        <v>246.63</v>
      </c>
    </row>
    <row r="24" spans="1:29" ht="15" customHeight="1" x14ac:dyDescent="0.3">
      <c r="A24" s="22"/>
      <c r="B24" s="16"/>
      <c r="C24" s="22"/>
      <c r="D24" s="22"/>
      <c r="E24" s="22"/>
      <c r="F24" s="22"/>
      <c r="G24" s="22"/>
      <c r="H24" s="22"/>
      <c r="I24" s="81"/>
      <c r="J24" s="81"/>
      <c r="L24" s="16"/>
      <c r="M24" s="22"/>
      <c r="N24" s="76"/>
      <c r="O24" s="22"/>
      <c r="P24" s="76"/>
      <c r="Q24" s="22"/>
      <c r="R24" s="22"/>
      <c r="S24" s="22"/>
    </row>
    <row r="25" spans="1:29" ht="18.75" x14ac:dyDescent="0.3">
      <c r="I25" s="81"/>
      <c r="J25" s="81"/>
      <c r="L25" s="11"/>
      <c r="N25" s="23"/>
      <c r="P25" s="23"/>
    </row>
    <row r="26" spans="1:29" ht="18.75" x14ac:dyDescent="0.3">
      <c r="A26" s="11" t="s">
        <v>12</v>
      </c>
      <c r="B26">
        <f>1300+H17</f>
        <v>1308</v>
      </c>
      <c r="C26" s="23" t="s">
        <v>115</v>
      </c>
      <c r="D26" s="24" t="s">
        <v>24</v>
      </c>
      <c r="E26" s="58"/>
      <c r="F26" s="23" t="s">
        <v>114</v>
      </c>
      <c r="H26" s="38" t="str">
        <f t="shared" si="0"/>
        <v>x</v>
      </c>
      <c r="I26" s="82">
        <f>B26/100</f>
        <v>13.08</v>
      </c>
      <c r="J26" s="82"/>
      <c r="L26" s="11" t="s">
        <v>30</v>
      </c>
      <c r="M26">
        <f>35.47+H17</f>
        <v>43.47</v>
      </c>
      <c r="N26" s="23" t="s">
        <v>114</v>
      </c>
      <c r="O26" s="24" t="s">
        <v>24</v>
      </c>
      <c r="P26" s="58"/>
      <c r="Q26" s="23" t="s">
        <v>114</v>
      </c>
      <c r="R26" s="58"/>
      <c r="S26" s="23" t="s">
        <v>115</v>
      </c>
    </row>
    <row r="27" spans="1:29" ht="18.75" x14ac:dyDescent="0.3">
      <c r="A27" s="11" t="s">
        <v>13</v>
      </c>
      <c r="B27">
        <f>2513+H17</f>
        <v>2521</v>
      </c>
      <c r="C27" s="23" t="s">
        <v>115</v>
      </c>
      <c r="D27" s="24" t="s">
        <v>24</v>
      </c>
      <c r="E27" s="58"/>
      <c r="F27" s="23" t="s">
        <v>114</v>
      </c>
      <c r="H27" s="38" t="str">
        <f t="shared" si="0"/>
        <v>x</v>
      </c>
      <c r="I27" s="82">
        <f>B27/100</f>
        <v>25.21</v>
      </c>
      <c r="J27" s="82"/>
      <c r="L27" s="11" t="s">
        <v>31</v>
      </c>
      <c r="M27">
        <f>701+H17</f>
        <v>709</v>
      </c>
      <c r="N27" s="23" t="s">
        <v>115</v>
      </c>
      <c r="O27" s="24" t="s">
        <v>24</v>
      </c>
      <c r="P27" s="58"/>
      <c r="Q27" s="23" t="s">
        <v>114</v>
      </c>
      <c r="R27" s="58"/>
      <c r="S27" s="23" t="s">
        <v>115</v>
      </c>
    </row>
    <row r="28" spans="1:29" ht="18.75" x14ac:dyDescent="0.3">
      <c r="A28" s="11" t="s">
        <v>14</v>
      </c>
      <c r="B28">
        <f>56914+H17</f>
        <v>56922</v>
      </c>
      <c r="C28" s="23" t="s">
        <v>115</v>
      </c>
      <c r="D28" s="24" t="s">
        <v>24</v>
      </c>
      <c r="E28" s="58"/>
      <c r="F28" s="23" t="s">
        <v>114</v>
      </c>
      <c r="H28" s="38" t="str">
        <f t="shared" si="0"/>
        <v>x</v>
      </c>
      <c r="I28" s="82">
        <f>B28/100</f>
        <v>569.22</v>
      </c>
      <c r="J28" s="82"/>
      <c r="L28" s="11" t="s">
        <v>32</v>
      </c>
      <c r="M28">
        <f>485.08+H17</f>
        <v>493.08</v>
      </c>
      <c r="N28" s="23" t="s">
        <v>114</v>
      </c>
      <c r="O28" s="24" t="s">
        <v>24</v>
      </c>
      <c r="P28" s="58"/>
      <c r="Q28" s="23" t="s">
        <v>114</v>
      </c>
      <c r="R28" s="58"/>
      <c r="S28" s="23" t="s">
        <v>115</v>
      </c>
    </row>
    <row r="29" spans="1:29" ht="18.75" x14ac:dyDescent="0.3">
      <c r="A29" s="11" t="s">
        <v>15</v>
      </c>
      <c r="B29">
        <f>346+H17</f>
        <v>354</v>
      </c>
      <c r="C29" s="23" t="s">
        <v>115</v>
      </c>
      <c r="D29" s="24" t="s">
        <v>24</v>
      </c>
      <c r="E29" s="58"/>
      <c r="F29" s="23" t="s">
        <v>114</v>
      </c>
      <c r="H29" s="38" t="str">
        <f t="shared" si="0"/>
        <v>x</v>
      </c>
      <c r="I29" s="82">
        <f>B29/100</f>
        <v>3.54</v>
      </c>
      <c r="J29" s="82"/>
      <c r="L29" s="11" t="s">
        <v>33</v>
      </c>
      <c r="M29">
        <f>3256+H17</f>
        <v>3264</v>
      </c>
      <c r="N29" s="23" t="s">
        <v>115</v>
      </c>
      <c r="O29" s="24" t="s">
        <v>24</v>
      </c>
      <c r="P29" s="58"/>
      <c r="Q29" s="23" t="s">
        <v>114</v>
      </c>
      <c r="R29" s="58"/>
      <c r="S29" s="23" t="s">
        <v>115</v>
      </c>
    </row>
    <row r="30" spans="1:29" x14ac:dyDescent="0.25">
      <c r="J30" s="81"/>
      <c r="M30" s="93" t="s">
        <v>44</v>
      </c>
      <c r="N30" s="93"/>
      <c r="O30" s="93"/>
      <c r="P30" s="93"/>
      <c r="Q30" s="93"/>
      <c r="R30" s="93"/>
      <c r="S30" s="93"/>
      <c r="T30" s="42"/>
      <c r="U30" s="42"/>
      <c r="V30" s="42"/>
      <c r="W30" s="42"/>
      <c r="X30" s="42"/>
      <c r="Y30" s="42"/>
      <c r="Z30" s="42"/>
      <c r="AA30" s="42"/>
      <c r="AB30" s="42"/>
      <c r="AC30" s="42"/>
    </row>
    <row r="33" spans="1:16" ht="18.75" x14ac:dyDescent="0.3">
      <c r="A33" s="10" t="s">
        <v>117</v>
      </c>
    </row>
    <row r="35" spans="1:16" ht="18.75" x14ac:dyDescent="0.3">
      <c r="A35" s="11" t="s">
        <v>118</v>
      </c>
      <c r="B35" s="23">
        <v>4</v>
      </c>
      <c r="C35" s="23" t="s">
        <v>114</v>
      </c>
      <c r="D35" s="23">
        <f>25+K17</f>
        <v>25</v>
      </c>
      <c r="E35" s="23" t="s">
        <v>115</v>
      </c>
      <c r="F35" s="24" t="s">
        <v>122</v>
      </c>
      <c r="G35" s="23">
        <f>3+K17</f>
        <v>3</v>
      </c>
      <c r="H35" s="23" t="s">
        <v>114</v>
      </c>
      <c r="J35" s="23">
        <v>45</v>
      </c>
      <c r="K35" s="23" t="s">
        <v>115</v>
      </c>
      <c r="L35" s="24" t="s">
        <v>24</v>
      </c>
      <c r="M35" s="58"/>
      <c r="N35" s="23" t="s">
        <v>114</v>
      </c>
      <c r="O35" s="58"/>
      <c r="P35" s="23" t="s">
        <v>115</v>
      </c>
    </row>
    <row r="36" spans="1:16" ht="18.75" x14ac:dyDescent="0.3">
      <c r="A36" s="11" t="s">
        <v>119</v>
      </c>
      <c r="B36" s="23">
        <v>5</v>
      </c>
      <c r="C36" s="23" t="s">
        <v>114</v>
      </c>
      <c r="D36" s="23">
        <f>67+K17</f>
        <v>67</v>
      </c>
      <c r="E36" s="23" t="s">
        <v>115</v>
      </c>
      <c r="F36" s="24" t="s">
        <v>122</v>
      </c>
      <c r="G36" s="23">
        <v>3</v>
      </c>
      <c r="H36" s="23" t="s">
        <v>114</v>
      </c>
      <c r="J36" s="23">
        <f>36+K17</f>
        <v>36</v>
      </c>
      <c r="K36" s="23" t="s">
        <v>115</v>
      </c>
      <c r="L36" s="24" t="s">
        <v>24</v>
      </c>
      <c r="M36" s="58"/>
      <c r="N36" s="23" t="s">
        <v>114</v>
      </c>
      <c r="O36" s="58"/>
      <c r="P36" s="23" t="s">
        <v>115</v>
      </c>
    </row>
    <row r="37" spans="1:16" ht="18.75" x14ac:dyDescent="0.3">
      <c r="A37" s="11" t="s">
        <v>120</v>
      </c>
      <c r="B37" s="23">
        <f>6+K17</f>
        <v>6</v>
      </c>
      <c r="C37" s="23" t="s">
        <v>114</v>
      </c>
      <c r="D37" s="23">
        <v>89</v>
      </c>
      <c r="E37" s="23" t="s">
        <v>115</v>
      </c>
      <c r="F37" s="24" t="s">
        <v>123</v>
      </c>
      <c r="G37" s="23">
        <f>2+K17</f>
        <v>2</v>
      </c>
      <c r="H37" s="23" t="s">
        <v>114</v>
      </c>
      <c r="J37" s="23">
        <v>62</v>
      </c>
      <c r="K37" s="23" t="s">
        <v>115</v>
      </c>
      <c r="L37" s="24" t="s">
        <v>24</v>
      </c>
      <c r="M37" s="58"/>
      <c r="N37" s="23" t="s">
        <v>114</v>
      </c>
      <c r="O37" s="58"/>
      <c r="P37" s="23" t="s">
        <v>115</v>
      </c>
    </row>
    <row r="38" spans="1:16" ht="18.75" x14ac:dyDescent="0.3">
      <c r="A38" s="11" t="s">
        <v>121</v>
      </c>
      <c r="B38" s="23">
        <f>2+K17</f>
        <v>2</v>
      </c>
      <c r="C38" s="23" t="s">
        <v>114</v>
      </c>
      <c r="D38" s="23">
        <v>25</v>
      </c>
      <c r="E38" s="23" t="s">
        <v>115</v>
      </c>
      <c r="F38" s="24" t="s">
        <v>123</v>
      </c>
      <c r="G38" s="23">
        <f>1+K17</f>
        <v>1</v>
      </c>
      <c r="H38" s="23" t="s">
        <v>114</v>
      </c>
      <c r="J38" s="23">
        <v>50</v>
      </c>
      <c r="K38" s="23" t="s">
        <v>115</v>
      </c>
      <c r="L38" s="24" t="s">
        <v>24</v>
      </c>
      <c r="M38" s="58"/>
      <c r="N38" s="23" t="s">
        <v>114</v>
      </c>
      <c r="O38" s="58"/>
      <c r="P38" s="23" t="s">
        <v>115</v>
      </c>
    </row>
    <row r="39" spans="1:16" x14ac:dyDescent="0.25">
      <c r="D39" s="93" t="s">
        <v>44</v>
      </c>
      <c r="E39" s="93"/>
      <c r="F39" s="93"/>
      <c r="G39" s="93"/>
      <c r="H39" s="93"/>
      <c r="I39" s="93"/>
      <c r="J39" s="93"/>
      <c r="K39" s="93"/>
    </row>
    <row r="44" spans="1:16" x14ac:dyDescent="0.25">
      <c r="E44" s="93"/>
      <c r="F44" s="93"/>
      <c r="G44" s="93"/>
      <c r="H44" s="93"/>
      <c r="I44" s="93"/>
      <c r="J44" s="93"/>
      <c r="K44" s="93"/>
      <c r="L44" s="93"/>
    </row>
  </sheetData>
  <sheetProtection password="C7EC" sheet="1" objects="1" scenarios="1"/>
  <mergeCells count="7">
    <mergeCell ref="E44:L44"/>
    <mergeCell ref="A1:T2"/>
    <mergeCell ref="A5:G5"/>
    <mergeCell ref="F9:G9"/>
    <mergeCell ref="B17:G17"/>
    <mergeCell ref="M30:S30"/>
    <mergeCell ref="D39:K39"/>
  </mergeCells>
  <conditionalFormatting sqref="H20:H23 H26:H29">
    <cfRule type="containsText" dxfId="11" priority="4" operator="containsText" text="falsch">
      <formula>NOT(ISERROR(SEARCH("falsch",H20)))</formula>
    </cfRule>
    <cfRule type="containsText" dxfId="10" priority="5" operator="containsText" text="richtig">
      <formula>NOT(ISERROR(SEARCH("richtig",H20)))</formula>
    </cfRule>
    <cfRule type="containsText" dxfId="9" priority="6" operator="containsText" text="x">
      <formula>NOT(ISERROR(SEARCH("x",H20)))</formula>
    </cfRule>
  </conditionalFormatting>
  <conditionalFormatting sqref="T20:T23">
    <cfRule type="containsText" dxfId="8" priority="1" operator="containsText" text="falsch">
      <formula>NOT(ISERROR(SEARCH("falsch",T20)))</formula>
    </cfRule>
    <cfRule type="containsText" dxfId="7" priority="2" operator="containsText" text="richtig">
      <formula>NOT(ISERROR(SEARCH("richtig",T20)))</formula>
    </cfRule>
    <cfRule type="containsText" dxfId="6" priority="3" operator="containsText" text="x">
      <formula>NOT(ISERROR(SEARCH("x",T20)))</formula>
    </cfRule>
  </conditionalFormatting>
  <pageMargins left="0.7" right="0.7" top="0.78740157499999996" bottom="0.78740157499999996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4"/>
  <sheetViews>
    <sheetView workbookViewId="0">
      <selection activeCell="O49" sqref="O49"/>
    </sheetView>
  </sheetViews>
  <sheetFormatPr baseColWidth="10" defaultRowHeight="15" x14ac:dyDescent="0.25"/>
  <cols>
    <col min="1" max="1" width="7.42578125" customWidth="1"/>
    <col min="2" max="2" width="6" bestFit="1" customWidth="1"/>
    <col min="3" max="3" width="5.140625" customWidth="1"/>
    <col min="4" max="4" width="5.42578125" customWidth="1"/>
    <col min="5" max="5" width="8.7109375" customWidth="1"/>
    <col min="6" max="6" width="5.140625" customWidth="1"/>
    <col min="7" max="7" width="5.42578125" customWidth="1"/>
    <col min="8" max="8" width="0" hidden="1" customWidth="1"/>
    <col min="9" max="9" width="11.42578125" hidden="1" customWidth="1"/>
    <col min="10" max="10" width="5.7109375" customWidth="1"/>
    <col min="12" max="12" width="6.7109375" customWidth="1"/>
    <col min="13" max="13" width="5.85546875" customWidth="1"/>
    <col min="14" max="14" width="7.5703125" customWidth="1"/>
    <col min="15" max="15" width="8.140625" customWidth="1"/>
    <col min="16" max="16" width="8" customWidth="1"/>
    <col min="17" max="17" width="11" customWidth="1"/>
    <col min="18" max="18" width="7" customWidth="1"/>
    <col min="19" max="19" width="0" hidden="1" customWidth="1"/>
    <col min="20" max="20" width="12.140625" hidden="1" customWidth="1"/>
  </cols>
  <sheetData>
    <row r="1" spans="1:18" ht="15" customHeight="1" x14ac:dyDescent="0.25">
      <c r="A1" s="86" t="s">
        <v>113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</row>
    <row r="2" spans="1:18" ht="15" customHeigh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4" spans="1:18" ht="18.75" x14ac:dyDescent="0.3">
      <c r="A4" s="10" t="s">
        <v>7</v>
      </c>
      <c r="B4" s="4"/>
      <c r="C4" s="4"/>
      <c r="D4" s="4"/>
      <c r="E4" s="4"/>
      <c r="F4" s="4"/>
      <c r="G4" s="5"/>
    </row>
    <row r="5" spans="1:18" ht="15.75" x14ac:dyDescent="0.25">
      <c r="A5" s="87" t="s">
        <v>42</v>
      </c>
      <c r="B5" s="87"/>
      <c r="C5" s="87"/>
      <c r="D5" s="87"/>
      <c r="E5" s="87"/>
      <c r="F5" s="87"/>
      <c r="G5" s="87"/>
    </row>
    <row r="7" spans="1:18" ht="18.75" x14ac:dyDescent="0.3">
      <c r="F7" s="12" t="s">
        <v>114</v>
      </c>
      <c r="G7" s="12" t="s">
        <v>115</v>
      </c>
      <c r="J7" s="2"/>
      <c r="K7" s="12"/>
    </row>
    <row r="8" spans="1:18" ht="17.25" x14ac:dyDescent="0.25">
      <c r="J8" s="5"/>
      <c r="K8" s="1"/>
    </row>
    <row r="9" spans="1:18" ht="15.75" x14ac:dyDescent="0.25">
      <c r="F9" s="96">
        <v>100</v>
      </c>
      <c r="G9" s="96"/>
    </row>
    <row r="12" spans="1:18" ht="15.75" x14ac:dyDescent="0.25">
      <c r="B12" s="79">
        <v>1</v>
      </c>
      <c r="C12" s="24" t="s">
        <v>24</v>
      </c>
      <c r="D12" s="60">
        <v>100</v>
      </c>
      <c r="E12" s="23" t="s">
        <v>115</v>
      </c>
    </row>
    <row r="15" spans="1:18" ht="18.75" x14ac:dyDescent="0.3">
      <c r="A15" s="10" t="s">
        <v>6</v>
      </c>
    </row>
    <row r="17" spans="1:28" ht="15.75" x14ac:dyDescent="0.25">
      <c r="B17" s="88" t="s">
        <v>116</v>
      </c>
      <c r="C17" s="88"/>
      <c r="D17" s="88"/>
      <c r="E17" s="88"/>
      <c r="F17" s="88"/>
      <c r="G17" s="88"/>
      <c r="H17" s="88"/>
      <c r="I17" s="88"/>
      <c r="J17" s="88"/>
      <c r="K17" s="34">
        <v>8</v>
      </c>
    </row>
    <row r="18" spans="1:28" ht="15.75" x14ac:dyDescent="0.25">
      <c r="B18" s="80"/>
      <c r="C18" s="80"/>
      <c r="D18" s="80"/>
      <c r="E18" s="80"/>
      <c r="F18" s="80"/>
      <c r="G18" s="80"/>
      <c r="H18" s="80"/>
    </row>
    <row r="19" spans="1:28" x14ac:dyDescent="0.25">
      <c r="H19" s="39" t="s">
        <v>45</v>
      </c>
      <c r="I19" s="81"/>
      <c r="S19" s="39" t="s">
        <v>45</v>
      </c>
    </row>
    <row r="20" spans="1:28" ht="18.75" x14ac:dyDescent="0.3">
      <c r="A20" s="11" t="s">
        <v>8</v>
      </c>
      <c r="B20">
        <f>1+K17</f>
        <v>9</v>
      </c>
      <c r="C20" s="23" t="s">
        <v>114</v>
      </c>
      <c r="D20" s="24" t="s">
        <v>24</v>
      </c>
      <c r="E20" s="60">
        <f>I20</f>
        <v>900</v>
      </c>
      <c r="F20" s="23" t="s">
        <v>115</v>
      </c>
      <c r="G20" s="81"/>
      <c r="H20" s="84" t="str">
        <f>IF(E20="","x",IF(E20=I20,"richtig","falsch"))</f>
        <v>richtig</v>
      </c>
      <c r="I20" s="82">
        <f>B20*100</f>
        <v>900</v>
      </c>
      <c r="K20" s="11" t="s">
        <v>26</v>
      </c>
      <c r="L20" s="23">
        <v>3</v>
      </c>
      <c r="M20" s="23" t="s">
        <v>114</v>
      </c>
      <c r="N20" s="23">
        <f>25+K17</f>
        <v>33</v>
      </c>
      <c r="O20" s="23" t="s">
        <v>115</v>
      </c>
      <c r="P20" s="24" t="s">
        <v>24</v>
      </c>
      <c r="Q20" s="60">
        <f>T20</f>
        <v>333</v>
      </c>
      <c r="R20" s="23" t="s">
        <v>115</v>
      </c>
      <c r="S20" s="38" t="str">
        <f>IF(Q20="","x",IF(Q20=T20,"richtig","falsch"))</f>
        <v>richtig</v>
      </c>
      <c r="T20" s="23">
        <f>L20*100+N20</f>
        <v>333</v>
      </c>
    </row>
    <row r="21" spans="1:28" ht="18.75" x14ac:dyDescent="0.3">
      <c r="A21" s="11" t="s">
        <v>9</v>
      </c>
      <c r="B21">
        <f>4+K17</f>
        <v>12</v>
      </c>
      <c r="C21" s="23" t="s">
        <v>114</v>
      </c>
      <c r="D21" s="24" t="s">
        <v>24</v>
      </c>
      <c r="E21" s="60">
        <f>I21</f>
        <v>1200</v>
      </c>
      <c r="F21" s="23" t="s">
        <v>115</v>
      </c>
      <c r="G21" s="81"/>
      <c r="H21" s="84" t="str">
        <f t="shared" ref="H21:H29" si="0">IF(E21="","x",IF(E21=I21,"richtig","falsch"))</f>
        <v>richtig</v>
      </c>
      <c r="I21" s="82">
        <f>B21*100</f>
        <v>1200</v>
      </c>
      <c r="K21" s="11" t="s">
        <v>27</v>
      </c>
      <c r="L21" s="23">
        <f>4+K17</f>
        <v>12</v>
      </c>
      <c r="M21" s="23" t="s">
        <v>114</v>
      </c>
      <c r="N21" s="23">
        <v>75</v>
      </c>
      <c r="O21" s="23" t="s">
        <v>115</v>
      </c>
      <c r="P21" s="24" t="s">
        <v>24</v>
      </c>
      <c r="Q21" s="60">
        <f>T21</f>
        <v>12.75</v>
      </c>
      <c r="R21" s="23" t="s">
        <v>114</v>
      </c>
      <c r="S21" s="38" t="str">
        <f t="shared" ref="S21:S23" si="1">IF(Q21="","x",IF(Q21=T21,"richtig","falsch"))</f>
        <v>richtig</v>
      </c>
      <c r="T21" s="23">
        <f>L21+N21/100</f>
        <v>12.75</v>
      </c>
    </row>
    <row r="22" spans="1:28" ht="18.75" x14ac:dyDescent="0.3">
      <c r="A22" s="11" t="s">
        <v>10</v>
      </c>
      <c r="B22">
        <f>2.4+K17</f>
        <v>10.4</v>
      </c>
      <c r="C22" s="23" t="s">
        <v>114</v>
      </c>
      <c r="D22" s="24" t="s">
        <v>24</v>
      </c>
      <c r="E22" s="60">
        <f>I22</f>
        <v>1040</v>
      </c>
      <c r="F22" s="23" t="s">
        <v>115</v>
      </c>
      <c r="G22" s="81"/>
      <c r="H22" s="84" t="str">
        <f t="shared" si="0"/>
        <v>richtig</v>
      </c>
      <c r="I22" s="82">
        <f>B22*100</f>
        <v>1040</v>
      </c>
      <c r="K22" s="11" t="s">
        <v>28</v>
      </c>
      <c r="L22" s="23">
        <f>1+K17</f>
        <v>9</v>
      </c>
      <c r="M22" s="23" t="s">
        <v>114</v>
      </c>
      <c r="N22" s="23">
        <v>49</v>
      </c>
      <c r="O22" s="23" t="s">
        <v>115</v>
      </c>
      <c r="P22" s="24" t="s">
        <v>24</v>
      </c>
      <c r="Q22" s="60">
        <f>T22</f>
        <v>949</v>
      </c>
      <c r="R22" s="23" t="s">
        <v>115</v>
      </c>
      <c r="S22" s="38" t="str">
        <f t="shared" si="1"/>
        <v>richtig</v>
      </c>
      <c r="T22" s="23">
        <f>L22*100+N22</f>
        <v>949</v>
      </c>
    </row>
    <row r="23" spans="1:28" ht="18.75" x14ac:dyDescent="0.3">
      <c r="A23" s="11" t="s">
        <v>11</v>
      </c>
      <c r="B23">
        <f>45.6+K17</f>
        <v>53.6</v>
      </c>
      <c r="C23" s="23" t="s">
        <v>114</v>
      </c>
      <c r="D23" s="24" t="s">
        <v>24</v>
      </c>
      <c r="E23" s="60">
        <f>I23</f>
        <v>5360</v>
      </c>
      <c r="F23" s="23" t="s">
        <v>115</v>
      </c>
      <c r="G23" s="81"/>
      <c r="H23" s="84" t="str">
        <f t="shared" si="0"/>
        <v>richtig</v>
      </c>
      <c r="I23" s="82">
        <f>B23*100</f>
        <v>5360</v>
      </c>
      <c r="K23" s="11" t="s">
        <v>29</v>
      </c>
      <c r="L23" s="23">
        <v>246</v>
      </c>
      <c r="M23" s="23" t="s">
        <v>114</v>
      </c>
      <c r="N23" s="23">
        <f>55+K17</f>
        <v>63</v>
      </c>
      <c r="O23" s="23" t="s">
        <v>115</v>
      </c>
      <c r="P23" s="24" t="s">
        <v>24</v>
      </c>
      <c r="Q23" s="60">
        <f>T23</f>
        <v>246.63</v>
      </c>
      <c r="R23" s="83" t="s">
        <v>114</v>
      </c>
      <c r="S23" s="38" t="str">
        <f t="shared" si="1"/>
        <v>richtig</v>
      </c>
      <c r="T23" s="23">
        <f>L23+N23/100</f>
        <v>246.63</v>
      </c>
    </row>
    <row r="24" spans="1:28" ht="15" customHeight="1" x14ac:dyDescent="0.3">
      <c r="A24" s="22"/>
      <c r="B24" s="16"/>
      <c r="C24" s="22"/>
      <c r="D24" s="22"/>
      <c r="E24" s="22"/>
      <c r="F24" s="22"/>
      <c r="G24" s="81"/>
      <c r="H24" s="22"/>
      <c r="I24" s="81"/>
      <c r="K24" s="16"/>
      <c r="L24" s="22"/>
      <c r="M24" s="76"/>
      <c r="N24" s="22"/>
      <c r="O24" s="76"/>
      <c r="P24" s="22"/>
      <c r="Q24" s="22"/>
      <c r="R24" s="22"/>
    </row>
    <row r="25" spans="1:28" ht="18.75" x14ac:dyDescent="0.3">
      <c r="G25" s="81"/>
      <c r="I25" s="81"/>
      <c r="K25" s="11"/>
      <c r="M25" s="23"/>
      <c r="O25" s="23"/>
    </row>
    <row r="26" spans="1:28" ht="18.75" x14ac:dyDescent="0.3">
      <c r="A26" s="11" t="s">
        <v>12</v>
      </c>
      <c r="B26">
        <f>1300+K17</f>
        <v>1308</v>
      </c>
      <c r="C26" s="23" t="s">
        <v>115</v>
      </c>
      <c r="D26" s="24" t="s">
        <v>24</v>
      </c>
      <c r="E26" s="60">
        <f>I26</f>
        <v>13.08</v>
      </c>
      <c r="F26" s="23" t="s">
        <v>114</v>
      </c>
      <c r="G26" s="81"/>
      <c r="H26" s="84" t="str">
        <f t="shared" si="0"/>
        <v>richtig</v>
      </c>
      <c r="I26" s="82">
        <f>B26/100</f>
        <v>13.08</v>
      </c>
      <c r="K26" s="11" t="s">
        <v>30</v>
      </c>
      <c r="L26">
        <f>35.47+K17</f>
        <v>43.47</v>
      </c>
      <c r="M26" s="23" t="s">
        <v>114</v>
      </c>
      <c r="N26" s="24" t="s">
        <v>24</v>
      </c>
      <c r="O26" s="60">
        <f>TRUNC(L26,0)</f>
        <v>43</v>
      </c>
      <c r="P26" s="23" t="s">
        <v>114</v>
      </c>
      <c r="Q26" s="60">
        <f>(L26-O26)*100</f>
        <v>46.999999999999886</v>
      </c>
      <c r="R26" s="23" t="s">
        <v>115</v>
      </c>
    </row>
    <row r="27" spans="1:28" ht="18.75" x14ac:dyDescent="0.3">
      <c r="A27" s="11" t="s">
        <v>13</v>
      </c>
      <c r="B27">
        <f>2513+K17</f>
        <v>2521</v>
      </c>
      <c r="C27" s="23" t="s">
        <v>115</v>
      </c>
      <c r="D27" s="24" t="s">
        <v>24</v>
      </c>
      <c r="E27" s="60">
        <f>I27</f>
        <v>25.21</v>
      </c>
      <c r="F27" s="23" t="s">
        <v>114</v>
      </c>
      <c r="G27" s="81"/>
      <c r="H27" s="84" t="str">
        <f t="shared" si="0"/>
        <v>richtig</v>
      </c>
      <c r="I27" s="82">
        <f>B27/100</f>
        <v>25.21</v>
      </c>
      <c r="K27" s="11" t="s">
        <v>31</v>
      </c>
      <c r="L27">
        <f>701+K17</f>
        <v>709</v>
      </c>
      <c r="M27" s="23" t="s">
        <v>115</v>
      </c>
      <c r="N27" s="24" t="s">
        <v>24</v>
      </c>
      <c r="O27" s="60">
        <f>TRUNC(L27/100,0)</f>
        <v>7</v>
      </c>
      <c r="P27" s="23" t="s">
        <v>114</v>
      </c>
      <c r="Q27" s="60">
        <f>L27-O27*100</f>
        <v>9</v>
      </c>
      <c r="R27" s="23" t="s">
        <v>115</v>
      </c>
    </row>
    <row r="28" spans="1:28" ht="18.75" x14ac:dyDescent="0.3">
      <c r="A28" s="11" t="s">
        <v>14</v>
      </c>
      <c r="B28">
        <f>56914+K17</f>
        <v>56922</v>
      </c>
      <c r="C28" s="23" t="s">
        <v>115</v>
      </c>
      <c r="D28" s="24" t="s">
        <v>24</v>
      </c>
      <c r="E28" s="60">
        <f>I28</f>
        <v>569.22</v>
      </c>
      <c r="F28" s="23" t="s">
        <v>114</v>
      </c>
      <c r="G28" s="81"/>
      <c r="H28" s="84" t="str">
        <f t="shared" si="0"/>
        <v>richtig</v>
      </c>
      <c r="I28" s="82">
        <f>B28/100</f>
        <v>569.22</v>
      </c>
      <c r="K28" s="11" t="s">
        <v>32</v>
      </c>
      <c r="L28">
        <f>485.08+K17</f>
        <v>493.08</v>
      </c>
      <c r="M28" s="23" t="s">
        <v>114</v>
      </c>
      <c r="N28" s="24" t="s">
        <v>24</v>
      </c>
      <c r="O28" s="60">
        <f t="shared" ref="O28" si="2">TRUNC(L28,0)</f>
        <v>493</v>
      </c>
      <c r="P28" s="23" t="s">
        <v>114</v>
      </c>
      <c r="Q28" s="60">
        <f t="shared" ref="Q28" si="3">(L28-O28)*100</f>
        <v>7.9999999999984084</v>
      </c>
      <c r="R28" s="23" t="s">
        <v>115</v>
      </c>
    </row>
    <row r="29" spans="1:28" ht="18.75" x14ac:dyDescent="0.3">
      <c r="A29" s="11" t="s">
        <v>15</v>
      </c>
      <c r="B29">
        <f>346+K17</f>
        <v>354</v>
      </c>
      <c r="C29" s="23" t="s">
        <v>115</v>
      </c>
      <c r="D29" s="24" t="s">
        <v>24</v>
      </c>
      <c r="E29" s="60">
        <f>I29</f>
        <v>3.54</v>
      </c>
      <c r="F29" s="23" t="s">
        <v>114</v>
      </c>
      <c r="G29" s="81"/>
      <c r="H29" s="84" t="str">
        <f t="shared" si="0"/>
        <v>richtig</v>
      </c>
      <c r="I29" s="82">
        <f>B29/100</f>
        <v>3.54</v>
      </c>
      <c r="K29" s="11" t="s">
        <v>33</v>
      </c>
      <c r="L29">
        <f>3256+K17</f>
        <v>3264</v>
      </c>
      <c r="M29" s="23" t="s">
        <v>115</v>
      </c>
      <c r="N29" s="24" t="s">
        <v>24</v>
      </c>
      <c r="O29" s="60">
        <f>TRUNC(L29/100,0)</f>
        <v>32</v>
      </c>
      <c r="P29" s="23" t="s">
        <v>114</v>
      </c>
      <c r="Q29" s="60">
        <f>L29-O29*100</f>
        <v>64</v>
      </c>
      <c r="R29" s="23" t="s">
        <v>115</v>
      </c>
    </row>
    <row r="30" spans="1:28" x14ac:dyDescent="0.25">
      <c r="G30" s="81"/>
      <c r="L30" s="93" t="s">
        <v>44</v>
      </c>
      <c r="M30" s="93"/>
      <c r="N30" s="93"/>
      <c r="O30" s="93"/>
      <c r="P30" s="93"/>
      <c r="Q30" s="93"/>
      <c r="R30" s="93"/>
      <c r="S30" s="42"/>
      <c r="T30" s="42"/>
      <c r="U30" s="42"/>
      <c r="V30" s="42"/>
      <c r="W30" s="42"/>
      <c r="X30" s="42"/>
      <c r="Y30" s="42"/>
      <c r="Z30" s="42"/>
      <c r="AA30" s="42"/>
      <c r="AB30" s="42"/>
    </row>
    <row r="33" spans="1:17" ht="18.75" x14ac:dyDescent="0.3">
      <c r="A33" s="10" t="s">
        <v>117</v>
      </c>
    </row>
    <row r="35" spans="1:17" ht="18.75" x14ac:dyDescent="0.3">
      <c r="A35" s="11" t="s">
        <v>118</v>
      </c>
      <c r="B35" s="23">
        <v>4</v>
      </c>
      <c r="C35" s="23" t="s">
        <v>114</v>
      </c>
      <c r="D35" s="23">
        <f>25+K17</f>
        <v>33</v>
      </c>
      <c r="E35" s="23" t="s">
        <v>115</v>
      </c>
      <c r="F35" s="24" t="s">
        <v>122</v>
      </c>
      <c r="G35" s="23">
        <f>3+K17</f>
        <v>11</v>
      </c>
      <c r="J35" s="23" t="s">
        <v>114</v>
      </c>
      <c r="K35" s="23">
        <v>45</v>
      </c>
      <c r="L35" s="23" t="s">
        <v>115</v>
      </c>
      <c r="M35" s="24" t="s">
        <v>24</v>
      </c>
      <c r="N35" s="60">
        <f>B35+G35</f>
        <v>15</v>
      </c>
      <c r="O35" s="23" t="s">
        <v>114</v>
      </c>
      <c r="P35" s="60">
        <f>D35+K35</f>
        <v>78</v>
      </c>
      <c r="Q35" s="23" t="s">
        <v>115</v>
      </c>
    </row>
    <row r="36" spans="1:17" ht="18.75" x14ac:dyDescent="0.3">
      <c r="A36" s="11" t="s">
        <v>119</v>
      </c>
      <c r="B36" s="23">
        <v>5</v>
      </c>
      <c r="C36" s="23" t="s">
        <v>114</v>
      </c>
      <c r="D36" s="23">
        <f>67+K17</f>
        <v>75</v>
      </c>
      <c r="E36" s="23" t="s">
        <v>115</v>
      </c>
      <c r="F36" s="24" t="s">
        <v>122</v>
      </c>
      <c r="G36" s="23">
        <v>3</v>
      </c>
      <c r="J36" s="23" t="s">
        <v>114</v>
      </c>
      <c r="K36" s="23">
        <f>36+K17</f>
        <v>44</v>
      </c>
      <c r="L36" s="23" t="s">
        <v>115</v>
      </c>
      <c r="M36" s="24" t="s">
        <v>24</v>
      </c>
      <c r="N36" s="60">
        <f>B36+G36+1</f>
        <v>9</v>
      </c>
      <c r="O36" s="23" t="s">
        <v>114</v>
      </c>
      <c r="P36" s="60">
        <f>D36+K36-100</f>
        <v>19</v>
      </c>
      <c r="Q36" s="23" t="s">
        <v>115</v>
      </c>
    </row>
    <row r="37" spans="1:17" ht="18.75" x14ac:dyDescent="0.3">
      <c r="A37" s="11" t="s">
        <v>120</v>
      </c>
      <c r="B37" s="23">
        <f>6+K17</f>
        <v>14</v>
      </c>
      <c r="C37" s="23" t="s">
        <v>114</v>
      </c>
      <c r="D37" s="23">
        <v>89</v>
      </c>
      <c r="E37" s="23" t="s">
        <v>115</v>
      </c>
      <c r="F37" s="24" t="s">
        <v>123</v>
      </c>
      <c r="G37" s="23">
        <f>2+K17</f>
        <v>10</v>
      </c>
      <c r="J37" s="23" t="s">
        <v>114</v>
      </c>
      <c r="K37" s="23">
        <v>62</v>
      </c>
      <c r="L37" s="23" t="s">
        <v>115</v>
      </c>
      <c r="M37" s="24" t="s">
        <v>24</v>
      </c>
      <c r="N37" s="60">
        <f>B37-G37</f>
        <v>4</v>
      </c>
      <c r="O37" s="23" t="s">
        <v>114</v>
      </c>
      <c r="P37" s="60">
        <f>D37-K37</f>
        <v>27</v>
      </c>
      <c r="Q37" s="23" t="s">
        <v>115</v>
      </c>
    </row>
    <row r="38" spans="1:17" ht="18.75" x14ac:dyDescent="0.3">
      <c r="A38" s="11" t="s">
        <v>121</v>
      </c>
      <c r="B38" s="23">
        <f>2+K17</f>
        <v>10</v>
      </c>
      <c r="C38" s="23" t="s">
        <v>114</v>
      </c>
      <c r="D38" s="23">
        <v>25</v>
      </c>
      <c r="E38" s="23" t="s">
        <v>115</v>
      </c>
      <c r="F38" s="24" t="s">
        <v>123</v>
      </c>
      <c r="G38" s="23">
        <f>1+K17</f>
        <v>9</v>
      </c>
      <c r="J38" s="23" t="s">
        <v>114</v>
      </c>
      <c r="K38" s="23">
        <v>50</v>
      </c>
      <c r="L38" s="23" t="s">
        <v>115</v>
      </c>
      <c r="M38" s="24" t="s">
        <v>24</v>
      </c>
      <c r="N38" s="60">
        <f>B38-G38-1</f>
        <v>0</v>
      </c>
      <c r="O38" s="23" t="s">
        <v>114</v>
      </c>
      <c r="P38" s="60">
        <f>D38+100-K38</f>
        <v>75</v>
      </c>
      <c r="Q38" s="23" t="s">
        <v>115</v>
      </c>
    </row>
    <row r="39" spans="1:17" x14ac:dyDescent="0.25">
      <c r="C39" s="93" t="s">
        <v>44</v>
      </c>
      <c r="D39" s="93"/>
      <c r="E39" s="93"/>
      <c r="F39" s="93"/>
      <c r="G39" s="93"/>
      <c r="H39" s="93"/>
      <c r="I39" s="93"/>
      <c r="J39" s="93"/>
      <c r="K39" s="93"/>
      <c r="L39" s="93"/>
    </row>
    <row r="44" spans="1:17" x14ac:dyDescent="0.25">
      <c r="E44" s="93"/>
      <c r="F44" s="93"/>
      <c r="G44" s="93"/>
      <c r="H44" s="93"/>
      <c r="I44" s="93"/>
      <c r="J44" s="93"/>
      <c r="K44" s="93"/>
    </row>
  </sheetData>
  <sheetProtection password="C7EC" sheet="1" objects="1" scenarios="1"/>
  <mergeCells count="7">
    <mergeCell ref="L30:R30"/>
    <mergeCell ref="E44:K44"/>
    <mergeCell ref="A1:R2"/>
    <mergeCell ref="C39:L39"/>
    <mergeCell ref="B17:J17"/>
    <mergeCell ref="F9:G9"/>
    <mergeCell ref="A5:G5"/>
  </mergeCells>
  <conditionalFormatting sqref="H20:H23 H26:H29">
    <cfRule type="containsText" dxfId="5" priority="7" operator="containsText" text="falsch">
      <formula>NOT(ISERROR(SEARCH("falsch",H20)))</formula>
    </cfRule>
    <cfRule type="containsText" dxfId="4" priority="8" operator="containsText" text="richtig">
      <formula>NOT(ISERROR(SEARCH("richtig",H20)))</formula>
    </cfRule>
    <cfRule type="containsText" dxfId="3" priority="9" operator="containsText" text="x">
      <formula>NOT(ISERROR(SEARCH("x",H20)))</formula>
    </cfRule>
  </conditionalFormatting>
  <conditionalFormatting sqref="S20:S23">
    <cfRule type="containsText" dxfId="2" priority="1" operator="containsText" text="falsch">
      <formula>NOT(ISERROR(SEARCH("falsch",S20)))</formula>
    </cfRule>
    <cfRule type="containsText" dxfId="1" priority="2" operator="containsText" text="richtig">
      <formula>NOT(ISERROR(SEARCH("richtig",S20)))</formula>
    </cfRule>
    <cfRule type="containsText" dxfId="0" priority="3" operator="containsText" text="x">
      <formula>NOT(ISERROR(SEARCH("x",S20)))</formula>
    </cfRule>
  </conditionalFormatting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1"/>
  <sheetViews>
    <sheetView workbookViewId="0">
      <selection activeCell="G20" sqref="G20"/>
    </sheetView>
  </sheetViews>
  <sheetFormatPr baseColWidth="10" defaultRowHeight="15" x14ac:dyDescent="0.25"/>
  <cols>
    <col min="1" max="1" width="5.140625" customWidth="1"/>
    <col min="2" max="2" width="9.7109375" customWidth="1"/>
    <col min="3" max="3" width="5.140625" customWidth="1"/>
    <col min="4" max="4" width="5.5703125" customWidth="1"/>
    <col min="5" max="5" width="8.42578125" customWidth="1"/>
    <col min="6" max="6" width="4.85546875" customWidth="1"/>
    <col min="7" max="7" width="9.42578125" customWidth="1"/>
    <col min="8" max="8" width="6.42578125" customWidth="1"/>
    <col min="9" max="10" width="6.140625" customWidth="1"/>
    <col min="11" max="12" width="6.7109375" bestFit="1" customWidth="1"/>
    <col min="13" max="13" width="3.85546875" customWidth="1"/>
    <col min="14" max="14" width="6" customWidth="1"/>
    <col min="15" max="15" width="5.85546875" customWidth="1"/>
    <col min="16" max="16" width="6" customWidth="1"/>
    <col min="17" max="17" width="6.140625" customWidth="1"/>
    <col min="18" max="18" width="6.140625" hidden="1" customWidth="1"/>
    <col min="19" max="19" width="6.7109375" customWidth="1"/>
    <col min="20" max="20" width="7.42578125" customWidth="1"/>
    <col min="21" max="22" width="7.42578125" hidden="1" customWidth="1"/>
    <col min="23" max="23" width="7.140625" customWidth="1"/>
    <col min="24" max="24" width="6.85546875" customWidth="1"/>
    <col min="25" max="26" width="6.85546875" hidden="1" customWidth="1"/>
    <col min="27" max="27" width="7.140625" customWidth="1"/>
    <col min="28" max="28" width="5.28515625" customWidth="1"/>
    <col min="29" max="30" width="5.28515625" hidden="1" customWidth="1"/>
    <col min="31" max="31" width="5.7109375" customWidth="1"/>
    <col min="32" max="32" width="10.7109375" customWidth="1"/>
    <col min="33" max="34" width="10.7109375" hidden="1" customWidth="1"/>
    <col min="35" max="35" width="8.42578125" customWidth="1"/>
  </cols>
  <sheetData>
    <row r="1" spans="1:35" ht="23.25" customHeight="1" x14ac:dyDescent="0.2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</row>
    <row r="2" spans="1:35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</row>
    <row r="3" spans="1:35" ht="18.75" x14ac:dyDescent="0.3">
      <c r="A3" s="10" t="s">
        <v>7</v>
      </c>
      <c r="B3" s="4"/>
      <c r="C3" s="4"/>
      <c r="D3" s="4"/>
      <c r="E3" s="4"/>
      <c r="F3" s="4"/>
      <c r="G3" s="5"/>
    </row>
    <row r="4" spans="1:35" ht="15.75" x14ac:dyDescent="0.25">
      <c r="A4" s="5"/>
      <c r="B4" s="87" t="s">
        <v>42</v>
      </c>
      <c r="C4" s="87"/>
      <c r="D4" s="87"/>
      <c r="E4" s="87"/>
      <c r="F4" s="87"/>
      <c r="G4" s="87"/>
    </row>
    <row r="5" spans="1:35" ht="15.75" x14ac:dyDescent="0.25">
      <c r="A5" s="5"/>
      <c r="B5" s="26"/>
      <c r="C5" s="26"/>
      <c r="D5" s="26"/>
      <c r="E5" s="26"/>
      <c r="F5" s="26"/>
      <c r="G5" s="26"/>
    </row>
    <row r="6" spans="1:35" s="2" customFormat="1" ht="18.75" x14ac:dyDescent="0.3">
      <c r="A6" s="6"/>
      <c r="B6" s="6"/>
      <c r="C6" s="6"/>
      <c r="D6" s="6"/>
      <c r="E6" s="6"/>
      <c r="F6" s="6"/>
      <c r="G6" s="6"/>
      <c r="H6" s="12" t="s">
        <v>1</v>
      </c>
      <c r="I6" s="12"/>
      <c r="J6" s="6"/>
      <c r="K6" s="12" t="s">
        <v>2</v>
      </c>
      <c r="L6" s="6"/>
      <c r="M6" s="6"/>
      <c r="N6" s="12" t="s">
        <v>3</v>
      </c>
      <c r="O6" s="6"/>
      <c r="P6" s="12" t="s">
        <v>4</v>
      </c>
      <c r="Q6" s="6"/>
      <c r="R6" s="6"/>
      <c r="S6" s="12" t="s">
        <v>5</v>
      </c>
    </row>
    <row r="7" spans="1:35" ht="15.75" customHeight="1" x14ac:dyDescent="0.25">
      <c r="A7" s="5"/>
      <c r="B7" s="5"/>
      <c r="C7" s="5"/>
      <c r="D7" s="5"/>
      <c r="E7" s="5"/>
      <c r="F7" s="5"/>
      <c r="G7" s="5"/>
      <c r="H7" s="5"/>
      <c r="I7" s="5"/>
      <c r="J7" s="7"/>
      <c r="K7" s="5"/>
      <c r="L7" s="1"/>
      <c r="M7" s="1"/>
      <c r="N7" s="5"/>
      <c r="O7" s="1"/>
      <c r="P7" s="5"/>
      <c r="Q7" s="1"/>
      <c r="R7" s="1"/>
      <c r="S7" s="5"/>
    </row>
    <row r="8" spans="1:35" ht="15.75" x14ac:dyDescent="0.25">
      <c r="A8" s="5"/>
      <c r="B8" s="5"/>
      <c r="C8" s="5"/>
      <c r="D8" s="5"/>
      <c r="E8" s="5"/>
      <c r="F8" s="5"/>
      <c r="G8" s="5"/>
      <c r="H8" s="5"/>
      <c r="I8" s="5"/>
      <c r="J8" s="35">
        <v>1000</v>
      </c>
      <c r="K8" s="5"/>
      <c r="L8" s="96">
        <v>10</v>
      </c>
      <c r="M8" s="96"/>
      <c r="N8" s="5"/>
      <c r="O8" s="35">
        <v>10</v>
      </c>
      <c r="P8" s="5"/>
      <c r="Q8" s="35">
        <v>10</v>
      </c>
      <c r="R8" s="28"/>
      <c r="S8" s="5"/>
    </row>
    <row r="9" spans="1:35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35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35" ht="15.75" x14ac:dyDescent="0.25">
      <c r="A11" s="25" t="s">
        <v>75</v>
      </c>
      <c r="B11" s="9" t="s">
        <v>24</v>
      </c>
      <c r="C11" s="85">
        <v>1000</v>
      </c>
      <c r="D11" s="85"/>
      <c r="E11" s="23" t="s">
        <v>2</v>
      </c>
      <c r="F11" s="24" t="s">
        <v>24</v>
      </c>
      <c r="G11" s="47">
        <v>10000</v>
      </c>
      <c r="H11" s="23" t="s">
        <v>3</v>
      </c>
      <c r="I11" s="24" t="s">
        <v>24</v>
      </c>
      <c r="J11" s="85">
        <v>100000</v>
      </c>
      <c r="K11" s="85"/>
      <c r="L11" s="23" t="s">
        <v>4</v>
      </c>
      <c r="M11" s="24" t="s">
        <v>24</v>
      </c>
      <c r="N11" s="85">
        <v>1000000</v>
      </c>
      <c r="O11" s="85"/>
      <c r="P11" s="25" t="s">
        <v>5</v>
      </c>
      <c r="Q11" s="5"/>
      <c r="R11" s="5"/>
      <c r="S11" s="5"/>
    </row>
    <row r="12" spans="1:35" ht="18" customHeight="1" x14ac:dyDescent="0.25">
      <c r="A12" s="5"/>
      <c r="B12" s="5"/>
      <c r="C12" s="5"/>
      <c r="E12" s="25" t="s">
        <v>72</v>
      </c>
      <c r="F12" s="9" t="s">
        <v>24</v>
      </c>
      <c r="G12" s="33">
        <v>10</v>
      </c>
      <c r="H12" s="25" t="s">
        <v>3</v>
      </c>
      <c r="I12" s="9" t="s">
        <v>24</v>
      </c>
      <c r="J12" s="85">
        <v>100</v>
      </c>
      <c r="K12" s="85"/>
      <c r="L12" s="23" t="s">
        <v>4</v>
      </c>
      <c r="M12" s="9" t="s">
        <v>24</v>
      </c>
      <c r="N12" s="85">
        <v>1000</v>
      </c>
      <c r="O12" s="85"/>
      <c r="P12" s="23" t="s">
        <v>5</v>
      </c>
      <c r="Q12" s="5"/>
      <c r="R12" s="5"/>
      <c r="S12" s="5"/>
    </row>
    <row r="13" spans="1:35" ht="18" customHeight="1" x14ac:dyDescent="0.25">
      <c r="A13" s="5"/>
      <c r="B13" s="5"/>
      <c r="C13" s="5"/>
      <c r="E13" s="25"/>
      <c r="F13" s="25"/>
      <c r="G13" s="25"/>
      <c r="H13" s="25" t="s">
        <v>73</v>
      </c>
      <c r="I13" s="9" t="s">
        <v>24</v>
      </c>
      <c r="J13" s="89">
        <v>10</v>
      </c>
      <c r="K13" s="89"/>
      <c r="L13" s="23" t="s">
        <v>4</v>
      </c>
      <c r="M13" s="9" t="s">
        <v>24</v>
      </c>
      <c r="N13" s="89">
        <v>100</v>
      </c>
      <c r="O13" s="89"/>
      <c r="P13" s="23" t="s">
        <v>5</v>
      </c>
      <c r="Q13" s="5"/>
      <c r="R13" s="5"/>
      <c r="S13" s="5"/>
    </row>
    <row r="14" spans="1:35" ht="17.25" customHeight="1" x14ac:dyDescent="0.25">
      <c r="A14" s="5"/>
      <c r="B14" s="5"/>
      <c r="C14" s="5"/>
      <c r="E14" s="5"/>
      <c r="F14" s="5"/>
      <c r="G14" s="5"/>
      <c r="H14" s="5"/>
      <c r="I14" s="5"/>
      <c r="J14" s="5"/>
      <c r="K14" s="5"/>
      <c r="L14" s="23" t="s">
        <v>74</v>
      </c>
      <c r="M14" s="9" t="s">
        <v>24</v>
      </c>
      <c r="N14" s="89">
        <v>10</v>
      </c>
      <c r="O14" s="89"/>
      <c r="P14" s="23" t="s">
        <v>5</v>
      </c>
      <c r="Q14" s="5"/>
      <c r="R14" s="5"/>
      <c r="S14" s="5"/>
    </row>
    <row r="15" spans="1:35" ht="15.75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35" ht="18.75" x14ac:dyDescent="0.3">
      <c r="A16" s="10" t="s">
        <v>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35" ht="15.75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35" ht="15.75" x14ac:dyDescent="0.25">
      <c r="A18" s="88" t="s">
        <v>23</v>
      </c>
      <c r="B18" s="88"/>
      <c r="C18" s="88"/>
      <c r="D18" s="88"/>
      <c r="E18" s="88"/>
      <c r="F18" s="88"/>
      <c r="G18" s="34">
        <v>67</v>
      </c>
      <c r="J18" s="27"/>
      <c r="K18" s="5"/>
      <c r="L18" s="88" t="s">
        <v>43</v>
      </c>
      <c r="M18" s="88"/>
      <c r="N18" s="88"/>
      <c r="O18" s="88"/>
      <c r="P18" s="88"/>
      <c r="Q18" s="88"/>
      <c r="R18" s="88"/>
      <c r="S18" s="88"/>
      <c r="T18" s="34">
        <v>3</v>
      </c>
    </row>
    <row r="19" spans="1:35" ht="15.75" x14ac:dyDescent="0.25">
      <c r="A19" s="5"/>
      <c r="B19" s="5"/>
      <c r="C19" s="5"/>
      <c r="D19" s="5"/>
      <c r="E19" s="5"/>
      <c r="F19" s="5"/>
      <c r="G19" s="5"/>
      <c r="H19" s="5"/>
      <c r="I19" s="5"/>
      <c r="J19" s="27"/>
      <c r="K19" s="5"/>
      <c r="L19" s="5"/>
      <c r="M19" s="5"/>
      <c r="N19" s="5"/>
      <c r="O19" s="5"/>
      <c r="P19" s="5"/>
      <c r="Q19" s="5"/>
      <c r="R19" s="5"/>
      <c r="S19" s="5"/>
      <c r="T19" s="3"/>
      <c r="U19" s="3"/>
    </row>
    <row r="20" spans="1:35" ht="18.75" x14ac:dyDescent="0.3">
      <c r="A20" s="11" t="s">
        <v>8</v>
      </c>
      <c r="B20" s="8">
        <f>$G$18+75.7</f>
        <v>142.69999999999999</v>
      </c>
      <c r="C20" s="8" t="s">
        <v>1</v>
      </c>
      <c r="D20" s="9" t="s">
        <v>24</v>
      </c>
      <c r="E20" s="94">
        <f>B20*1000</f>
        <v>142700</v>
      </c>
      <c r="F20" s="94"/>
      <c r="G20" s="8" t="s">
        <v>2</v>
      </c>
      <c r="H20" s="5"/>
      <c r="I20" s="5"/>
      <c r="J20" s="27"/>
      <c r="L20" s="11" t="s">
        <v>26</v>
      </c>
      <c r="N20" s="23">
        <v>1</v>
      </c>
      <c r="O20" s="8" t="s">
        <v>1</v>
      </c>
      <c r="P20" s="23">
        <v>4</v>
      </c>
      <c r="Q20" s="8" t="s">
        <v>2</v>
      </c>
      <c r="R20" s="8"/>
      <c r="S20" s="23">
        <f>2+T18</f>
        <v>5</v>
      </c>
      <c r="T20" s="8" t="s">
        <v>3</v>
      </c>
      <c r="U20" s="8"/>
      <c r="V20" s="8"/>
      <c r="W20" s="23">
        <v>7</v>
      </c>
      <c r="X20" s="23" t="s">
        <v>4</v>
      </c>
      <c r="Y20" s="23"/>
      <c r="Z20" s="23"/>
      <c r="AA20" s="23">
        <v>5</v>
      </c>
      <c r="AB20" s="23" t="s">
        <v>5</v>
      </c>
      <c r="AC20" s="23"/>
      <c r="AD20" s="23"/>
      <c r="AE20" s="24" t="s">
        <v>24</v>
      </c>
      <c r="AF20" s="19">
        <f>N20*10000+P20*10+S20+W20/10+AA20/100</f>
        <v>10045.75</v>
      </c>
      <c r="AG20" s="31"/>
      <c r="AH20" s="31"/>
      <c r="AI20" s="23" t="s">
        <v>3</v>
      </c>
    </row>
    <row r="21" spans="1:35" ht="18.75" x14ac:dyDescent="0.3">
      <c r="A21" s="11" t="s">
        <v>9</v>
      </c>
      <c r="B21" s="8">
        <f>$G$18+87.8</f>
        <v>154.80000000000001</v>
      </c>
      <c r="C21" s="8" t="s">
        <v>3</v>
      </c>
      <c r="D21" s="9" t="s">
        <v>24</v>
      </c>
      <c r="E21" s="95">
        <f>B21*100</f>
        <v>15480.000000000002</v>
      </c>
      <c r="F21" s="95"/>
      <c r="G21" s="8" t="s">
        <v>5</v>
      </c>
      <c r="H21" s="5"/>
      <c r="I21" s="5"/>
      <c r="J21" s="27"/>
      <c r="L21" s="11" t="s">
        <v>27</v>
      </c>
      <c r="N21" s="8">
        <f>4+T18</f>
        <v>7</v>
      </c>
      <c r="O21" s="8" t="s">
        <v>1</v>
      </c>
      <c r="P21" s="8">
        <v>52</v>
      </c>
      <c r="Q21" s="8" t="s">
        <v>2</v>
      </c>
      <c r="R21" s="8"/>
      <c r="S21" s="8">
        <v>9</v>
      </c>
      <c r="T21" s="8" t="s">
        <v>3</v>
      </c>
      <c r="U21" s="8"/>
      <c r="V21" s="8"/>
      <c r="W21" s="23">
        <v>1</v>
      </c>
      <c r="X21" s="23" t="s">
        <v>4</v>
      </c>
      <c r="Y21" s="23"/>
      <c r="Z21" s="23"/>
      <c r="AA21" s="23">
        <v>6</v>
      </c>
      <c r="AB21" s="23" t="s">
        <v>5</v>
      </c>
      <c r="AC21" s="23"/>
      <c r="AD21" s="23"/>
      <c r="AE21" s="24" t="s">
        <v>24</v>
      </c>
      <c r="AF21" s="19">
        <f>N21*1000+P21+S21/10+W21/100+AA21/1000</f>
        <v>7052.9160000000002</v>
      </c>
      <c r="AG21" s="31"/>
      <c r="AH21" s="31"/>
      <c r="AI21" s="23" t="s">
        <v>2</v>
      </c>
    </row>
    <row r="22" spans="1:35" ht="18.75" x14ac:dyDescent="0.3">
      <c r="A22" s="11" t="s">
        <v>10</v>
      </c>
      <c r="B22" s="8">
        <f>$G$18+36.4</f>
        <v>103.4</v>
      </c>
      <c r="C22" s="8" t="s">
        <v>4</v>
      </c>
      <c r="D22" s="9" t="s">
        <v>24</v>
      </c>
      <c r="E22" s="95">
        <f>B22*10</f>
        <v>1034</v>
      </c>
      <c r="F22" s="95"/>
      <c r="G22" s="8" t="s">
        <v>5</v>
      </c>
      <c r="H22" s="5"/>
      <c r="I22" s="5"/>
      <c r="J22" s="27"/>
      <c r="L22" s="11" t="s">
        <v>28</v>
      </c>
      <c r="N22" s="8">
        <v>0</v>
      </c>
      <c r="O22" s="8" t="s">
        <v>1</v>
      </c>
      <c r="P22" s="8">
        <v>2</v>
      </c>
      <c r="Q22" s="8" t="s">
        <v>2</v>
      </c>
      <c r="R22" s="8"/>
      <c r="S22" s="8">
        <v>7</v>
      </c>
      <c r="T22" s="8" t="s">
        <v>3</v>
      </c>
      <c r="U22" s="8"/>
      <c r="V22" s="8"/>
      <c r="W22" s="23">
        <f>1+T18</f>
        <v>4</v>
      </c>
      <c r="X22" s="23" t="s">
        <v>4</v>
      </c>
      <c r="Y22" s="23"/>
      <c r="Z22" s="23"/>
      <c r="AA22" s="23">
        <v>9</v>
      </c>
      <c r="AB22" s="23" t="s">
        <v>5</v>
      </c>
      <c r="AC22" s="23"/>
      <c r="AD22" s="23"/>
      <c r="AE22" s="24" t="s">
        <v>24</v>
      </c>
      <c r="AF22" s="19">
        <f>P22*100+S22*10+W22+AA22/10</f>
        <v>274.89999999999998</v>
      </c>
      <c r="AG22" s="31"/>
      <c r="AH22" s="31"/>
      <c r="AI22" s="23" t="s">
        <v>4</v>
      </c>
    </row>
    <row r="23" spans="1:35" ht="18.75" x14ac:dyDescent="0.3">
      <c r="A23" s="11" t="s">
        <v>11</v>
      </c>
      <c r="B23" s="8">
        <f>$G$18+68.3</f>
        <v>135.30000000000001</v>
      </c>
      <c r="C23" s="8" t="s">
        <v>2</v>
      </c>
      <c r="D23" s="9" t="s">
        <v>24</v>
      </c>
      <c r="E23" s="95">
        <f>B23*10</f>
        <v>1353</v>
      </c>
      <c r="F23" s="95"/>
      <c r="G23" s="8" t="s">
        <v>3</v>
      </c>
      <c r="H23" s="5"/>
      <c r="I23" s="5"/>
      <c r="J23" s="27"/>
      <c r="L23" s="11" t="s">
        <v>29</v>
      </c>
      <c r="N23" s="8">
        <v>0</v>
      </c>
      <c r="O23" s="8" t="s">
        <v>1</v>
      </c>
      <c r="P23" s="8">
        <v>3</v>
      </c>
      <c r="Q23" s="8" t="s">
        <v>2</v>
      </c>
      <c r="R23" s="8"/>
      <c r="S23" s="8">
        <v>3</v>
      </c>
      <c r="T23" s="8" t="s">
        <v>3</v>
      </c>
      <c r="U23" s="8"/>
      <c r="V23" s="8"/>
      <c r="W23" s="23">
        <v>3</v>
      </c>
      <c r="X23" s="23" t="s">
        <v>4</v>
      </c>
      <c r="Y23" s="23"/>
      <c r="Z23" s="23"/>
      <c r="AA23" s="23">
        <f>2+T18</f>
        <v>5</v>
      </c>
      <c r="AB23" s="23" t="s">
        <v>5</v>
      </c>
      <c r="AC23" s="23"/>
      <c r="AD23" s="23"/>
      <c r="AE23" s="24" t="s">
        <v>24</v>
      </c>
      <c r="AF23" s="19">
        <f>P23*1000+S23*100+W23*10+AA23</f>
        <v>3335</v>
      </c>
      <c r="AG23" s="31"/>
      <c r="AH23" s="31"/>
      <c r="AI23" s="23" t="s">
        <v>5</v>
      </c>
    </row>
    <row r="24" spans="1:35" ht="18.75" x14ac:dyDescent="0.3">
      <c r="A24" s="11" t="s">
        <v>12</v>
      </c>
      <c r="B24" s="8">
        <f>$G$18+27.9</f>
        <v>94.9</v>
      </c>
      <c r="C24" s="8" t="s">
        <v>2</v>
      </c>
      <c r="D24" s="9" t="s">
        <v>24</v>
      </c>
      <c r="E24" s="95">
        <f>B24*100</f>
        <v>9490</v>
      </c>
      <c r="F24" s="95"/>
      <c r="G24" s="8" t="s">
        <v>4</v>
      </c>
      <c r="H24" s="5"/>
      <c r="I24" s="5"/>
      <c r="J24" s="27"/>
      <c r="L24" s="11" t="s">
        <v>30</v>
      </c>
      <c r="N24" s="8">
        <v>4</v>
      </c>
      <c r="O24" s="8" t="s">
        <v>1</v>
      </c>
      <c r="P24" s="8">
        <f>341+T18</f>
        <v>344</v>
      </c>
      <c r="Q24" s="8" t="s">
        <v>2</v>
      </c>
      <c r="R24" s="8"/>
      <c r="S24" s="8">
        <v>6</v>
      </c>
      <c r="T24" s="8" t="s">
        <v>3</v>
      </c>
      <c r="U24" s="8"/>
      <c r="V24" s="8"/>
      <c r="W24" s="23">
        <v>9</v>
      </c>
      <c r="X24" s="23" t="s">
        <v>4</v>
      </c>
      <c r="Y24" s="23"/>
      <c r="Z24" s="23"/>
      <c r="AA24" s="23">
        <v>7</v>
      </c>
      <c r="AB24" s="23" t="s">
        <v>5</v>
      </c>
      <c r="AC24" s="23"/>
      <c r="AD24" s="23"/>
      <c r="AE24" s="24" t="s">
        <v>24</v>
      </c>
      <c r="AF24" s="19">
        <f>N24+P24/1000+S24/10000+W24/100000+AA24/1000000</f>
        <v>4.3446970000000009</v>
      </c>
      <c r="AG24" s="31"/>
      <c r="AH24" s="31"/>
      <c r="AI24" s="23" t="s">
        <v>1</v>
      </c>
    </row>
    <row r="25" spans="1:35" ht="18.75" x14ac:dyDescent="0.3">
      <c r="A25" s="11" t="s">
        <v>13</v>
      </c>
      <c r="B25" s="8">
        <f>$G$18+43.6</f>
        <v>110.6</v>
      </c>
      <c r="C25" s="8" t="s">
        <v>3</v>
      </c>
      <c r="D25" s="9" t="s">
        <v>24</v>
      </c>
      <c r="E25" s="95">
        <f>B25*10</f>
        <v>1106</v>
      </c>
      <c r="F25" s="95"/>
      <c r="G25" s="8" t="s">
        <v>4</v>
      </c>
      <c r="H25" s="5"/>
      <c r="I25" s="5"/>
      <c r="J25" s="27"/>
      <c r="L25" s="11" t="s">
        <v>31</v>
      </c>
      <c r="N25" s="8">
        <f>3+T18</f>
        <v>6</v>
      </c>
      <c r="O25" s="8" t="s">
        <v>1</v>
      </c>
      <c r="P25" s="8">
        <v>87</v>
      </c>
      <c r="Q25" s="8" t="s">
        <v>2</v>
      </c>
      <c r="R25" s="8"/>
      <c r="S25" s="8">
        <v>9</v>
      </c>
      <c r="T25" s="8" t="s">
        <v>3</v>
      </c>
      <c r="U25" s="8"/>
      <c r="V25" s="8"/>
      <c r="W25" s="23">
        <v>2</v>
      </c>
      <c r="X25" s="23" t="s">
        <v>4</v>
      </c>
      <c r="Y25" s="23"/>
      <c r="Z25" s="23"/>
      <c r="AA25" s="23">
        <v>3</v>
      </c>
      <c r="AB25" s="23" t="s">
        <v>5</v>
      </c>
      <c r="AC25" s="23"/>
      <c r="AD25" s="23"/>
      <c r="AE25" s="24" t="s">
        <v>24</v>
      </c>
      <c r="AF25" s="19">
        <f>N25*10000+P25*10+S25+W25/10+AA25/100</f>
        <v>60879.229999999996</v>
      </c>
      <c r="AG25" s="31"/>
      <c r="AH25" s="31"/>
      <c r="AI25" s="23" t="s">
        <v>3</v>
      </c>
    </row>
    <row r="26" spans="1:35" ht="18.75" x14ac:dyDescent="0.3">
      <c r="A26" s="11" t="s">
        <v>14</v>
      </c>
      <c r="B26" s="8">
        <f>$G$18+15.2</f>
        <v>82.2</v>
      </c>
      <c r="C26" s="8" t="s">
        <v>2</v>
      </c>
      <c r="D26" s="9" t="s">
        <v>24</v>
      </c>
      <c r="E26" s="95">
        <f>B26*1000</f>
        <v>82200</v>
      </c>
      <c r="F26" s="95"/>
      <c r="G26" s="8" t="s">
        <v>5</v>
      </c>
      <c r="H26" s="5"/>
      <c r="I26" s="5"/>
      <c r="J26" s="27"/>
      <c r="L26" s="11" t="s">
        <v>32</v>
      </c>
      <c r="N26" s="8">
        <v>7</v>
      </c>
      <c r="O26" s="8" t="s">
        <v>1</v>
      </c>
      <c r="P26" s="8">
        <f>891+T18</f>
        <v>894</v>
      </c>
      <c r="Q26" s="8" t="s">
        <v>2</v>
      </c>
      <c r="R26" s="8"/>
      <c r="S26" s="8">
        <v>6</v>
      </c>
      <c r="T26" s="8" t="s">
        <v>3</v>
      </c>
      <c r="U26" s="8"/>
      <c r="V26" s="8"/>
      <c r="W26" s="23">
        <v>5</v>
      </c>
      <c r="X26" s="23" t="s">
        <v>4</v>
      </c>
      <c r="Y26" s="23"/>
      <c r="Z26" s="23"/>
      <c r="AA26" s="23">
        <v>2</v>
      </c>
      <c r="AB26" s="23" t="s">
        <v>5</v>
      </c>
      <c r="AC26" s="23"/>
      <c r="AD26" s="23"/>
      <c r="AE26" s="24" t="s">
        <v>24</v>
      </c>
      <c r="AF26" s="19">
        <f>N26*1000+P26+S26/10+W26/100+AA26/1000</f>
        <v>7894.652000000001</v>
      </c>
      <c r="AG26" s="31"/>
      <c r="AH26" s="31"/>
      <c r="AI26" s="23" t="s">
        <v>2</v>
      </c>
    </row>
    <row r="27" spans="1:35" ht="18.75" x14ac:dyDescent="0.3">
      <c r="A27" s="11" t="s">
        <v>15</v>
      </c>
      <c r="B27" s="8">
        <f>$G$18+5.4</f>
        <v>72.400000000000006</v>
      </c>
      <c r="C27" s="8" t="s">
        <v>1</v>
      </c>
      <c r="D27" s="9" t="s">
        <v>24</v>
      </c>
      <c r="E27" s="95">
        <f>B27*100000</f>
        <v>7240000.0000000009</v>
      </c>
      <c r="F27" s="95"/>
      <c r="G27" s="8" t="s">
        <v>4</v>
      </c>
      <c r="H27" s="5"/>
      <c r="I27" s="5"/>
      <c r="J27" s="27"/>
      <c r="L27" s="11" t="s">
        <v>33</v>
      </c>
      <c r="N27" s="8">
        <v>2</v>
      </c>
      <c r="O27" s="8" t="s">
        <v>1</v>
      </c>
      <c r="P27" s="8">
        <v>8</v>
      </c>
      <c r="Q27" s="8" t="s">
        <v>2</v>
      </c>
      <c r="R27" s="8"/>
      <c r="S27" s="8">
        <v>9</v>
      </c>
      <c r="T27" s="8" t="s">
        <v>3</v>
      </c>
      <c r="U27" s="8"/>
      <c r="V27" s="8"/>
      <c r="W27" s="23">
        <f>4+T18</f>
        <v>7</v>
      </c>
      <c r="X27" s="23" t="s">
        <v>4</v>
      </c>
      <c r="Y27" s="23"/>
      <c r="Z27" s="23"/>
      <c r="AA27" s="23">
        <v>6</v>
      </c>
      <c r="AB27" s="23" t="s">
        <v>5</v>
      </c>
      <c r="AC27" s="23"/>
      <c r="AD27" s="23"/>
      <c r="AE27" s="24" t="s">
        <v>24</v>
      </c>
      <c r="AF27" s="19">
        <f>N27*1000000+P27*1000+S27*100+W27*10+AA27</f>
        <v>2008976</v>
      </c>
      <c r="AG27" s="31"/>
      <c r="AH27" s="31"/>
      <c r="AI27" s="23" t="s">
        <v>5</v>
      </c>
    </row>
    <row r="28" spans="1:35" ht="18.75" x14ac:dyDescent="0.3">
      <c r="A28" s="16"/>
      <c r="B28" s="17"/>
      <c r="C28" s="17"/>
      <c r="D28" s="18"/>
      <c r="E28" s="17"/>
      <c r="F28" s="17"/>
      <c r="G28" s="21"/>
      <c r="H28" s="5"/>
      <c r="I28" s="5"/>
      <c r="J28" s="27"/>
      <c r="K28" s="14"/>
      <c r="L28" s="21"/>
      <c r="M28" s="21"/>
      <c r="N28" s="21"/>
      <c r="O28" s="21"/>
      <c r="P28" s="21"/>
      <c r="Q28" s="21"/>
      <c r="R28" s="21"/>
      <c r="S28" s="21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</row>
    <row r="29" spans="1:35" ht="18.75" x14ac:dyDescent="0.3">
      <c r="A29" s="11"/>
      <c r="B29" s="8"/>
      <c r="C29" s="8"/>
      <c r="D29" s="9"/>
      <c r="E29" s="8"/>
      <c r="F29" s="8"/>
      <c r="G29" s="13"/>
      <c r="H29" s="5"/>
      <c r="I29" s="5"/>
      <c r="J29" s="27"/>
      <c r="K29" s="14"/>
      <c r="L29" s="5"/>
      <c r="M29" s="5"/>
      <c r="N29" s="5"/>
      <c r="O29" s="5"/>
      <c r="P29" s="5"/>
      <c r="Q29" s="5"/>
      <c r="R29" s="5"/>
      <c r="S29" s="5"/>
    </row>
    <row r="30" spans="1:35" ht="18.75" x14ac:dyDescent="0.3">
      <c r="A30" s="14" t="s">
        <v>16</v>
      </c>
      <c r="B30" s="15">
        <f>$G$18+245</f>
        <v>312</v>
      </c>
      <c r="C30" s="15" t="s">
        <v>4</v>
      </c>
      <c r="D30" s="20" t="s">
        <v>24</v>
      </c>
      <c r="E30" s="94">
        <f>B30/100</f>
        <v>3.12</v>
      </c>
      <c r="F30" s="94"/>
      <c r="G30" s="15" t="s">
        <v>2</v>
      </c>
      <c r="H30" s="5"/>
      <c r="I30" s="5"/>
      <c r="J30" s="27"/>
      <c r="L30" s="11" t="s">
        <v>34</v>
      </c>
      <c r="M30" s="91">
        <f>24.3221+T18</f>
        <v>27.322099999999999</v>
      </c>
      <c r="N30" s="91"/>
      <c r="O30" s="8" t="s">
        <v>1</v>
      </c>
      <c r="P30" s="9" t="s">
        <v>24</v>
      </c>
      <c r="Q30" s="29">
        <f>R30</f>
        <v>27</v>
      </c>
      <c r="R30" s="30">
        <f>TRUNC(M30,0)</f>
        <v>27</v>
      </c>
      <c r="S30" s="8" t="s">
        <v>1</v>
      </c>
      <c r="T30" s="29">
        <f t="shared" ref="T30:T36" si="0">V30</f>
        <v>322</v>
      </c>
      <c r="U30" s="30">
        <f>TRUNC(M30*1000-R30*1000)</f>
        <v>322</v>
      </c>
      <c r="V30" s="30">
        <f t="shared" ref="V30:V36" si="1">TRUNC(U30,0)</f>
        <v>322</v>
      </c>
      <c r="W30" s="8" t="s">
        <v>2</v>
      </c>
      <c r="X30" s="19">
        <f t="shared" ref="X30:X35" si="2">Z30</f>
        <v>1</v>
      </c>
      <c r="Y30" s="31">
        <f>M30*10000-R30*10000-U30*10</f>
        <v>1</v>
      </c>
      <c r="Z30" s="31">
        <f t="shared" ref="Z30:Z35" si="3">TRUNC(Y30,0)</f>
        <v>1</v>
      </c>
      <c r="AA30" s="8" t="s">
        <v>3</v>
      </c>
      <c r="AB30" s="19">
        <v>0</v>
      </c>
      <c r="AC30" s="31"/>
      <c r="AD30" s="31"/>
      <c r="AE30" s="8" t="s">
        <v>4</v>
      </c>
      <c r="AF30" s="19">
        <v>0</v>
      </c>
      <c r="AG30" s="31"/>
      <c r="AH30" s="31"/>
      <c r="AI30" s="8" t="s">
        <v>5</v>
      </c>
    </row>
    <row r="31" spans="1:35" ht="18.75" x14ac:dyDescent="0.3">
      <c r="A31" s="11" t="s">
        <v>17</v>
      </c>
      <c r="B31" s="8">
        <f>$G$18+66</f>
        <v>133</v>
      </c>
      <c r="C31" s="8" t="s">
        <v>3</v>
      </c>
      <c r="D31" s="9" t="s">
        <v>24</v>
      </c>
      <c r="E31" s="94">
        <f>B31/10</f>
        <v>13.3</v>
      </c>
      <c r="F31" s="94"/>
      <c r="G31" s="8" t="s">
        <v>2</v>
      </c>
      <c r="H31" s="5"/>
      <c r="I31" s="5"/>
      <c r="J31" s="27"/>
      <c r="L31" s="11" t="s">
        <v>35</v>
      </c>
      <c r="M31" s="91">
        <f>4.99+T18</f>
        <v>7.99</v>
      </c>
      <c r="N31" s="91"/>
      <c r="O31" s="8" t="s">
        <v>2</v>
      </c>
      <c r="P31" s="9" t="s">
        <v>24</v>
      </c>
      <c r="Q31" s="19">
        <f>R31</f>
        <v>0</v>
      </c>
      <c r="R31" s="31">
        <f>TRUNC(M31/1000,0)</f>
        <v>0</v>
      </c>
      <c r="S31" s="8" t="s">
        <v>1</v>
      </c>
      <c r="T31" s="19">
        <f t="shared" si="0"/>
        <v>7</v>
      </c>
      <c r="U31" s="31">
        <f>TRUNC(M31-R31*1000,0)</f>
        <v>7</v>
      </c>
      <c r="V31" s="31">
        <f t="shared" si="1"/>
        <v>7</v>
      </c>
      <c r="W31" s="8" t="s">
        <v>2</v>
      </c>
      <c r="X31" s="19">
        <f t="shared" si="2"/>
        <v>9</v>
      </c>
      <c r="Y31" s="31">
        <f>M31*10-Q31*10000-T31*10</f>
        <v>9.9000000000000057</v>
      </c>
      <c r="Z31" s="31">
        <f t="shared" si="3"/>
        <v>9</v>
      </c>
      <c r="AA31" s="8" t="s">
        <v>3</v>
      </c>
      <c r="AB31" s="19">
        <f>AD31</f>
        <v>9</v>
      </c>
      <c r="AC31" s="31">
        <f>M31*100-Q31*100000-T31*100-X31*10</f>
        <v>9</v>
      </c>
      <c r="AD31" s="31">
        <f>TRUNC(AC31,0)</f>
        <v>9</v>
      </c>
      <c r="AE31" s="8" t="s">
        <v>4</v>
      </c>
      <c r="AF31" s="19">
        <v>0</v>
      </c>
      <c r="AG31" s="31"/>
      <c r="AH31" s="31"/>
      <c r="AI31" s="8" t="s">
        <v>5</v>
      </c>
    </row>
    <row r="32" spans="1:35" ht="18.75" x14ac:dyDescent="0.3">
      <c r="A32" s="11" t="s">
        <v>18</v>
      </c>
      <c r="B32" s="8">
        <f>$G$18+1540</f>
        <v>1607</v>
      </c>
      <c r="C32" s="8" t="s">
        <v>2</v>
      </c>
      <c r="D32" s="9" t="s">
        <v>24</v>
      </c>
      <c r="E32" s="94">
        <f>B32/1000</f>
        <v>1.607</v>
      </c>
      <c r="F32" s="94"/>
      <c r="G32" s="8" t="s">
        <v>1</v>
      </c>
      <c r="H32" s="5"/>
      <c r="I32" s="5"/>
      <c r="J32" s="27"/>
      <c r="L32" s="11" t="s">
        <v>36</v>
      </c>
      <c r="M32" s="91">
        <f>41.6+T18</f>
        <v>44.6</v>
      </c>
      <c r="N32" s="91"/>
      <c r="O32" s="8" t="s">
        <v>3</v>
      </c>
      <c r="P32" s="9" t="s">
        <v>24</v>
      </c>
      <c r="Q32" s="19">
        <v>0</v>
      </c>
      <c r="R32" s="31"/>
      <c r="S32" s="8" t="s">
        <v>1</v>
      </c>
      <c r="T32" s="19">
        <f t="shared" si="0"/>
        <v>4</v>
      </c>
      <c r="U32" s="31">
        <f>TRUNC((M32-Q32*1000)/10,0)</f>
        <v>4</v>
      </c>
      <c r="V32" s="31">
        <f t="shared" si="1"/>
        <v>4</v>
      </c>
      <c r="W32" s="8" t="s">
        <v>2</v>
      </c>
      <c r="X32" s="19">
        <f t="shared" si="2"/>
        <v>4</v>
      </c>
      <c r="Y32" s="31">
        <f>TRUNC(M32-R32*10000-V32*10)</f>
        <v>4</v>
      </c>
      <c r="Z32" s="31">
        <f t="shared" si="3"/>
        <v>4</v>
      </c>
      <c r="AA32" s="8" t="s">
        <v>3</v>
      </c>
      <c r="AB32" s="19">
        <f>AD32</f>
        <v>6</v>
      </c>
      <c r="AC32" s="31">
        <f>TRUNC(M32*10-R32*100000-V32*100-Z32*10)</f>
        <v>6</v>
      </c>
      <c r="AD32" s="31">
        <f>TRUNC(AC32,0)</f>
        <v>6</v>
      </c>
      <c r="AE32" s="8" t="s">
        <v>4</v>
      </c>
      <c r="AF32" s="19">
        <v>0</v>
      </c>
      <c r="AG32" s="31"/>
      <c r="AH32" s="31"/>
      <c r="AI32" s="8" t="s">
        <v>5</v>
      </c>
    </row>
    <row r="33" spans="1:35" ht="18.75" x14ac:dyDescent="0.3">
      <c r="A33" s="11" t="s">
        <v>19</v>
      </c>
      <c r="B33" s="8">
        <f>$G$18+23</f>
        <v>90</v>
      </c>
      <c r="C33" s="8" t="s">
        <v>5</v>
      </c>
      <c r="D33" s="9" t="s">
        <v>24</v>
      </c>
      <c r="E33" s="94">
        <f>B33/10</f>
        <v>9</v>
      </c>
      <c r="F33" s="94"/>
      <c r="G33" s="8" t="s">
        <v>4</v>
      </c>
      <c r="H33" s="5"/>
      <c r="I33" s="5"/>
      <c r="J33" s="27"/>
      <c r="L33" s="11" t="s">
        <v>37</v>
      </c>
      <c r="M33" s="91">
        <f>2362.8+T18</f>
        <v>2365.8000000000002</v>
      </c>
      <c r="N33" s="91"/>
      <c r="O33" s="8" t="s">
        <v>4</v>
      </c>
      <c r="P33" s="9" t="s">
        <v>24</v>
      </c>
      <c r="Q33" s="19">
        <v>0</v>
      </c>
      <c r="R33" s="31"/>
      <c r="S33" s="8" t="s">
        <v>1</v>
      </c>
      <c r="T33" s="19">
        <f t="shared" si="0"/>
        <v>23</v>
      </c>
      <c r="U33" s="31">
        <f>TRUNC((M33-R33*100000)/100)</f>
        <v>23</v>
      </c>
      <c r="V33" s="31">
        <f t="shared" si="1"/>
        <v>23</v>
      </c>
      <c r="W33" s="8" t="s">
        <v>2</v>
      </c>
      <c r="X33" s="19">
        <f t="shared" si="2"/>
        <v>6</v>
      </c>
      <c r="Y33" s="31">
        <f>TRUNC((M33-R33*100000-V33*100)/10)</f>
        <v>6</v>
      </c>
      <c r="Z33" s="31">
        <f t="shared" si="3"/>
        <v>6</v>
      </c>
      <c r="AA33" s="8" t="s">
        <v>3</v>
      </c>
      <c r="AB33" s="19">
        <f>AD33</f>
        <v>5</v>
      </c>
      <c r="AC33" s="31">
        <f>TRUNC(M33-R33*100000-V33*100-Z33*10)</f>
        <v>5</v>
      </c>
      <c r="AD33" s="31">
        <f>TRUNC(AC33,0)</f>
        <v>5</v>
      </c>
      <c r="AE33" s="8" t="s">
        <v>4</v>
      </c>
      <c r="AF33" s="19">
        <f>AH33</f>
        <v>8</v>
      </c>
      <c r="AG33" s="31">
        <f>TRUNC(M33*10-R33*1000000-V33*1000-Z33*100-AD33*10)</f>
        <v>8</v>
      </c>
      <c r="AH33" s="31">
        <f>TRUNC(AG33,0)</f>
        <v>8</v>
      </c>
      <c r="AI33" s="8" t="s">
        <v>5</v>
      </c>
    </row>
    <row r="34" spans="1:35" ht="18.75" x14ac:dyDescent="0.3">
      <c r="A34" s="11" t="s">
        <v>20</v>
      </c>
      <c r="B34" s="8">
        <f>$G$18+188</f>
        <v>255</v>
      </c>
      <c r="C34" s="8" t="s">
        <v>4</v>
      </c>
      <c r="D34" s="9" t="s">
        <v>24</v>
      </c>
      <c r="E34" s="94">
        <f>B34/10</f>
        <v>25.5</v>
      </c>
      <c r="F34" s="94"/>
      <c r="G34" s="8" t="s">
        <v>3</v>
      </c>
      <c r="H34" s="5"/>
      <c r="I34" s="5"/>
      <c r="J34" s="27"/>
      <c r="L34" s="11" t="s">
        <v>38</v>
      </c>
      <c r="M34" s="91">
        <f>9452+T18</f>
        <v>9455</v>
      </c>
      <c r="N34" s="91"/>
      <c r="O34" s="8" t="s">
        <v>5</v>
      </c>
      <c r="P34" s="9" t="s">
        <v>24</v>
      </c>
      <c r="Q34" s="19">
        <v>0</v>
      </c>
      <c r="R34" s="31"/>
      <c r="S34" s="8" t="s">
        <v>1</v>
      </c>
      <c r="T34" s="19">
        <f t="shared" si="0"/>
        <v>9</v>
      </c>
      <c r="U34" s="31">
        <f>TRUNC((M34-R34*1000000)/1000)</f>
        <v>9</v>
      </c>
      <c r="V34" s="31">
        <f t="shared" si="1"/>
        <v>9</v>
      </c>
      <c r="W34" s="8" t="s">
        <v>2</v>
      </c>
      <c r="X34" s="19">
        <f t="shared" si="2"/>
        <v>4</v>
      </c>
      <c r="Y34" s="31">
        <f>TRUNC((M34-R34*100000-V34*1000)/100)</f>
        <v>4</v>
      </c>
      <c r="Z34" s="31">
        <f t="shared" si="3"/>
        <v>4</v>
      </c>
      <c r="AA34" s="8" t="s">
        <v>3</v>
      </c>
      <c r="AB34" s="19">
        <f>AD34</f>
        <v>5</v>
      </c>
      <c r="AC34" s="31">
        <f>TRUNC((M34-R34*100000-V34*1000-Z34*100)/10)</f>
        <v>5</v>
      </c>
      <c r="AD34" s="31">
        <f>TRUNC(AC34,0)</f>
        <v>5</v>
      </c>
      <c r="AE34" s="8" t="s">
        <v>4</v>
      </c>
      <c r="AF34" s="19">
        <f>AH34</f>
        <v>5</v>
      </c>
      <c r="AG34" s="31">
        <f>TRUNC(M34-R34*1000000-V34*1000-Z34*100-AD34*10)</f>
        <v>5</v>
      </c>
      <c r="AH34" s="31">
        <f>TRUNC(AG34,0)</f>
        <v>5</v>
      </c>
      <c r="AI34" s="8" t="s">
        <v>5</v>
      </c>
    </row>
    <row r="35" spans="1:35" ht="18.75" x14ac:dyDescent="0.3">
      <c r="A35" s="11" t="s">
        <v>21</v>
      </c>
      <c r="B35" s="8">
        <f>$G$18+7643</f>
        <v>7710</v>
      </c>
      <c r="C35" s="8" t="s">
        <v>5</v>
      </c>
      <c r="D35" s="9" t="s">
        <v>24</v>
      </c>
      <c r="E35" s="94">
        <f>B35/100</f>
        <v>77.099999999999994</v>
      </c>
      <c r="F35" s="94"/>
      <c r="G35" s="8" t="s">
        <v>3</v>
      </c>
      <c r="H35" s="5"/>
      <c r="I35" s="5"/>
      <c r="J35" s="27"/>
      <c r="L35" s="11" t="s">
        <v>39</v>
      </c>
      <c r="M35" s="91">
        <f>0.87+T18</f>
        <v>3.87</v>
      </c>
      <c r="N35" s="91"/>
      <c r="O35" s="8" t="s">
        <v>2</v>
      </c>
      <c r="P35" s="9" t="s">
        <v>24</v>
      </c>
      <c r="Q35" s="19">
        <v>0</v>
      </c>
      <c r="R35" s="31"/>
      <c r="S35" s="8" t="s">
        <v>1</v>
      </c>
      <c r="T35" s="19">
        <f t="shared" si="0"/>
        <v>3</v>
      </c>
      <c r="U35" s="31">
        <f>TRUNC(M35-R35*1000)</f>
        <v>3</v>
      </c>
      <c r="V35" s="31">
        <f t="shared" si="1"/>
        <v>3</v>
      </c>
      <c r="W35" s="8" t="s">
        <v>2</v>
      </c>
      <c r="X35" s="19">
        <f t="shared" si="2"/>
        <v>8</v>
      </c>
      <c r="Y35" s="31">
        <f>TRUNC(M35*10-R35*10000-V35*10)</f>
        <v>8</v>
      </c>
      <c r="Z35" s="31">
        <f t="shared" si="3"/>
        <v>8</v>
      </c>
      <c r="AA35" s="8" t="s">
        <v>3</v>
      </c>
      <c r="AB35" s="19">
        <f>AD35</f>
        <v>7</v>
      </c>
      <c r="AC35" s="31">
        <f>TRUNC(M35*100-R35*100000-V35*100-Z35*10)</f>
        <v>7</v>
      </c>
      <c r="AD35" s="31">
        <f>TRUNC(AC35,0)</f>
        <v>7</v>
      </c>
      <c r="AE35" s="8" t="s">
        <v>4</v>
      </c>
      <c r="AF35" s="19">
        <v>0</v>
      </c>
      <c r="AG35" s="31"/>
      <c r="AH35" s="31"/>
      <c r="AI35" s="8" t="s">
        <v>5</v>
      </c>
    </row>
    <row r="36" spans="1:35" ht="18.75" x14ac:dyDescent="0.3">
      <c r="A36" s="11" t="s">
        <v>22</v>
      </c>
      <c r="B36" s="8">
        <f>$G$18+92573</f>
        <v>92640</v>
      </c>
      <c r="C36" s="8" t="s">
        <v>3</v>
      </c>
      <c r="D36" s="9" t="s">
        <v>24</v>
      </c>
      <c r="E36" s="94">
        <f>B36/10000</f>
        <v>9.2639999999999993</v>
      </c>
      <c r="F36" s="94"/>
      <c r="G36" s="8" t="s">
        <v>1</v>
      </c>
      <c r="H36" s="5"/>
      <c r="I36" s="5"/>
      <c r="J36" s="27"/>
      <c r="L36" s="11" t="s">
        <v>40</v>
      </c>
      <c r="M36" s="91">
        <f>2.43+T18</f>
        <v>5.43</v>
      </c>
      <c r="N36" s="91"/>
      <c r="O36" s="8" t="s">
        <v>1</v>
      </c>
      <c r="P36" s="9" t="s">
        <v>24</v>
      </c>
      <c r="Q36" s="19">
        <f>R36</f>
        <v>5</v>
      </c>
      <c r="R36" s="31">
        <f>TRUNC(M36,0)</f>
        <v>5</v>
      </c>
      <c r="S36" s="8" t="s">
        <v>1</v>
      </c>
      <c r="T36" s="19">
        <f t="shared" si="0"/>
        <v>430</v>
      </c>
      <c r="U36" s="31">
        <f>TRUNC(M36*1000-R36*1000)</f>
        <v>430</v>
      </c>
      <c r="V36" s="31">
        <f t="shared" si="1"/>
        <v>430</v>
      </c>
      <c r="W36" s="8" t="s">
        <v>2</v>
      </c>
      <c r="X36" s="19">
        <v>0</v>
      </c>
      <c r="Y36" s="31"/>
      <c r="Z36" s="31"/>
      <c r="AA36" s="8" t="s">
        <v>3</v>
      </c>
      <c r="AB36" s="19">
        <v>0</v>
      </c>
      <c r="AC36" s="31"/>
      <c r="AD36" s="31"/>
      <c r="AE36" s="8" t="s">
        <v>4</v>
      </c>
      <c r="AF36" s="19">
        <v>0</v>
      </c>
      <c r="AG36" s="31"/>
      <c r="AH36" s="31"/>
      <c r="AI36" s="8" t="s">
        <v>5</v>
      </c>
    </row>
    <row r="37" spans="1:35" ht="18.75" x14ac:dyDescent="0.3">
      <c r="A37" s="11" t="s">
        <v>25</v>
      </c>
      <c r="B37" s="8">
        <f>$G$18+58792</f>
        <v>58859</v>
      </c>
      <c r="C37" s="8" t="s">
        <v>5</v>
      </c>
      <c r="D37" s="9" t="s">
        <v>24</v>
      </c>
      <c r="E37" s="94">
        <f>B37/1000</f>
        <v>58.859000000000002</v>
      </c>
      <c r="F37" s="94"/>
      <c r="G37" s="8" t="s">
        <v>2</v>
      </c>
      <c r="H37" s="5"/>
      <c r="I37" s="5"/>
      <c r="J37" s="27"/>
      <c r="L37" s="11" t="s">
        <v>41</v>
      </c>
      <c r="M37" s="91">
        <f>82.9+T18</f>
        <v>85.9</v>
      </c>
      <c r="N37" s="91"/>
      <c r="O37" s="8" t="s">
        <v>4</v>
      </c>
      <c r="P37" s="9" t="s">
        <v>24</v>
      </c>
      <c r="Q37" s="19">
        <v>0</v>
      </c>
      <c r="R37" s="31"/>
      <c r="S37" s="8" t="s">
        <v>1</v>
      </c>
      <c r="T37" s="19">
        <v>0</v>
      </c>
      <c r="U37" s="31"/>
      <c r="V37" s="31"/>
      <c r="W37" s="8" t="s">
        <v>2</v>
      </c>
      <c r="X37" s="19">
        <f>Z37</f>
        <v>8</v>
      </c>
      <c r="Y37" s="31">
        <f>TRUNC((M37-R37*10000-V37*100)/10)</f>
        <v>8</v>
      </c>
      <c r="Z37" s="31">
        <f>TRUNC(Y37,0)</f>
        <v>8</v>
      </c>
      <c r="AA37" s="8" t="s">
        <v>3</v>
      </c>
      <c r="AB37" s="19">
        <f>AD37</f>
        <v>5</v>
      </c>
      <c r="AC37" s="31">
        <f>TRUNC(M37-R37*100000-V37*100-Z37*10)</f>
        <v>5</v>
      </c>
      <c r="AD37" s="31">
        <f>TRUNC(AC37,0)</f>
        <v>5</v>
      </c>
      <c r="AE37" s="8" t="s">
        <v>4</v>
      </c>
      <c r="AF37" s="19">
        <f>AH37</f>
        <v>9</v>
      </c>
      <c r="AG37" s="31">
        <f>TRUNC(M37*10-R37*1000000-V37*1000-Z37*100-AD37*10)</f>
        <v>9</v>
      </c>
      <c r="AH37" s="31">
        <f>TRUNC(AG37,0)</f>
        <v>9</v>
      </c>
      <c r="AI37" s="8" t="s">
        <v>5</v>
      </c>
    </row>
    <row r="38" spans="1:35" ht="18.75" x14ac:dyDescent="0.3">
      <c r="A38" s="11"/>
      <c r="B38" s="8"/>
      <c r="C38" s="8"/>
      <c r="D38" s="8"/>
      <c r="E38" s="8"/>
      <c r="F38" s="8"/>
      <c r="G38" s="5"/>
      <c r="H38" s="5"/>
      <c r="I38" s="5"/>
      <c r="J38" s="5"/>
      <c r="L38" s="5"/>
      <c r="M38" s="5"/>
      <c r="N38" s="5"/>
    </row>
    <row r="39" spans="1:35" ht="15.75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L39" s="5"/>
      <c r="M39" s="5"/>
      <c r="N39" s="32"/>
      <c r="O39" s="32"/>
    </row>
    <row r="40" spans="1:35" ht="18.75" x14ac:dyDescent="0.3">
      <c r="A40" s="10"/>
      <c r="B40" s="4"/>
      <c r="C40" s="4"/>
      <c r="D40" s="4"/>
      <c r="E40" s="4"/>
      <c r="F40" s="5"/>
      <c r="G40" s="5"/>
      <c r="H40" s="5"/>
      <c r="I40" s="5"/>
      <c r="J40" s="5"/>
      <c r="L40" s="5"/>
      <c r="M40" s="5"/>
      <c r="N40" s="5"/>
    </row>
    <row r="41" spans="1:35" ht="18.75" x14ac:dyDescent="0.3">
      <c r="A41" s="10"/>
      <c r="B41" s="5"/>
      <c r="C41" s="5"/>
      <c r="D41" s="5"/>
      <c r="E41" s="5"/>
      <c r="F41" s="5"/>
      <c r="G41" s="5"/>
      <c r="H41" s="5"/>
      <c r="I41" s="5"/>
      <c r="J41" s="5"/>
      <c r="L41" s="5"/>
      <c r="M41" s="5"/>
      <c r="N41" s="5"/>
    </row>
    <row r="42" spans="1:35" ht="15.75" x14ac:dyDescent="0.25">
      <c r="B42" s="5"/>
      <c r="C42" s="5"/>
      <c r="D42" s="5"/>
      <c r="E42" s="5"/>
      <c r="F42" s="5"/>
      <c r="G42" s="5"/>
      <c r="H42" s="5"/>
      <c r="I42" s="5"/>
      <c r="J42" s="5"/>
      <c r="L42" s="5"/>
      <c r="M42" s="5"/>
      <c r="N42" s="5"/>
    </row>
    <row r="43" spans="1:35" ht="18.75" x14ac:dyDescent="0.3">
      <c r="A43" s="11"/>
    </row>
    <row r="44" spans="1:35" ht="18.75" x14ac:dyDescent="0.3">
      <c r="A44" s="11"/>
    </row>
    <row r="45" spans="1:35" ht="18.75" x14ac:dyDescent="0.3">
      <c r="A45" s="11"/>
      <c r="P45" s="5"/>
      <c r="Q45" s="5"/>
      <c r="R45" s="5"/>
      <c r="S45" s="5"/>
    </row>
    <row r="46" spans="1:35" ht="18.75" x14ac:dyDescent="0.3">
      <c r="A46" s="11"/>
      <c r="P46" s="5"/>
      <c r="Q46" s="5"/>
      <c r="R46" s="5"/>
      <c r="S46" s="5"/>
    </row>
    <row r="47" spans="1:35" ht="18.75" x14ac:dyDescent="0.3">
      <c r="A47" s="11"/>
      <c r="P47" s="5"/>
      <c r="Q47" s="5"/>
      <c r="R47" s="5"/>
      <c r="S47" s="5"/>
    </row>
    <row r="48" spans="1:35" ht="18.75" x14ac:dyDescent="0.3">
      <c r="A48" s="11"/>
      <c r="P48" s="5"/>
      <c r="Q48" s="5"/>
      <c r="R48" s="5"/>
      <c r="S48" s="5"/>
    </row>
    <row r="49" spans="1:19" ht="18.75" x14ac:dyDescent="0.3">
      <c r="A49" s="11"/>
      <c r="P49" s="5"/>
      <c r="Q49" s="5"/>
      <c r="R49" s="5"/>
      <c r="S49" s="5"/>
    </row>
    <row r="50" spans="1:19" ht="18.75" x14ac:dyDescent="0.3">
      <c r="A50" s="11"/>
      <c r="P50" s="5"/>
      <c r="Q50" s="5"/>
      <c r="R50" s="5"/>
      <c r="S50" s="5"/>
    </row>
    <row r="51" spans="1:19" ht="15.75" x14ac:dyDescent="0.25">
      <c r="P51" s="5"/>
      <c r="Q51" s="5"/>
      <c r="R51" s="5"/>
      <c r="S51" s="5"/>
    </row>
    <row r="52" spans="1:19" ht="15.75" x14ac:dyDescent="0.25">
      <c r="P52" s="5"/>
      <c r="Q52" s="5"/>
      <c r="R52" s="5"/>
      <c r="S52" s="5"/>
    </row>
    <row r="53" spans="1:19" ht="18.75" x14ac:dyDescent="0.3">
      <c r="A53" s="14"/>
      <c r="B53" s="5"/>
      <c r="C53" s="5"/>
      <c r="E53" s="5"/>
      <c r="G53" s="5"/>
      <c r="J53" s="5"/>
      <c r="L53" s="5"/>
      <c r="M53" s="5"/>
      <c r="O53" s="5"/>
      <c r="P53" s="5"/>
      <c r="Q53" s="5"/>
      <c r="R53" s="5"/>
      <c r="S53" s="5"/>
    </row>
    <row r="54" spans="1:19" ht="18.75" x14ac:dyDescent="0.3">
      <c r="A54" s="11"/>
      <c r="B54" s="5"/>
      <c r="C54" s="5"/>
      <c r="E54" s="5"/>
      <c r="G54" s="5"/>
      <c r="J54" s="5"/>
      <c r="L54" s="5"/>
      <c r="M54" s="5"/>
      <c r="O54" s="5"/>
      <c r="P54" s="5"/>
      <c r="Q54" s="5"/>
      <c r="R54" s="5"/>
      <c r="S54" s="5"/>
    </row>
    <row r="55" spans="1:19" ht="18.75" x14ac:dyDescent="0.3">
      <c r="A55" s="11"/>
      <c r="B55" s="5"/>
      <c r="C55" s="5"/>
      <c r="E55" s="5"/>
      <c r="G55" s="5"/>
      <c r="J55" s="5"/>
      <c r="L55" s="5"/>
      <c r="M55" s="5"/>
      <c r="O55" s="5"/>
      <c r="P55" s="5"/>
      <c r="Q55" s="5"/>
      <c r="R55" s="5"/>
      <c r="S55" s="5"/>
    </row>
    <row r="56" spans="1:19" ht="18.75" x14ac:dyDescent="0.3">
      <c r="A56" s="11"/>
      <c r="B56" s="5"/>
      <c r="C56" s="5"/>
      <c r="E56" s="5"/>
      <c r="G56" s="5"/>
      <c r="J56" s="5"/>
      <c r="L56" s="5"/>
      <c r="M56" s="5"/>
      <c r="O56" s="5"/>
      <c r="P56" s="5"/>
      <c r="Q56" s="5"/>
      <c r="R56" s="5"/>
      <c r="S56" s="5"/>
    </row>
    <row r="57" spans="1:19" ht="18.75" x14ac:dyDescent="0.3">
      <c r="A57" s="11"/>
      <c r="B57" s="5"/>
      <c r="C57" s="5"/>
      <c r="E57" s="5"/>
      <c r="G57" s="5"/>
      <c r="J57" s="5"/>
      <c r="L57" s="5"/>
      <c r="M57" s="5"/>
      <c r="O57" s="5"/>
      <c r="P57" s="5"/>
      <c r="Q57" s="5"/>
      <c r="R57" s="5"/>
      <c r="S57" s="5"/>
    </row>
    <row r="58" spans="1:19" ht="18.75" x14ac:dyDescent="0.3">
      <c r="A58" s="11"/>
      <c r="B58" s="5"/>
      <c r="C58" s="5"/>
      <c r="E58" s="5"/>
      <c r="G58" s="5"/>
      <c r="J58" s="5"/>
      <c r="L58" s="5"/>
      <c r="M58" s="5"/>
      <c r="O58" s="5"/>
      <c r="P58" s="5"/>
      <c r="Q58" s="5"/>
      <c r="R58" s="5"/>
      <c r="S58" s="5"/>
    </row>
    <row r="59" spans="1:19" ht="18.75" x14ac:dyDescent="0.3">
      <c r="A59" s="11"/>
      <c r="B59" s="5"/>
      <c r="C59" s="5"/>
      <c r="E59" s="5"/>
      <c r="G59" s="5"/>
      <c r="J59" s="5"/>
      <c r="L59" s="5"/>
      <c r="M59" s="5"/>
      <c r="O59" s="5"/>
      <c r="P59" s="5"/>
      <c r="Q59" s="5"/>
      <c r="R59" s="5"/>
      <c r="S59" s="5"/>
    </row>
    <row r="60" spans="1:19" ht="18.75" x14ac:dyDescent="0.3">
      <c r="A60" s="11"/>
      <c r="B60" s="5"/>
      <c r="C60" s="5"/>
      <c r="E60" s="5"/>
      <c r="G60" s="5"/>
      <c r="J60" s="5"/>
      <c r="L60" s="5"/>
      <c r="M60" s="5"/>
      <c r="O60" s="5"/>
      <c r="P60" s="5"/>
      <c r="Q60" s="5"/>
      <c r="R60" s="5"/>
      <c r="S60" s="5"/>
    </row>
    <row r="61" spans="1:19" ht="15.75" x14ac:dyDescent="0.25">
      <c r="A61" s="5"/>
      <c r="B61" s="5"/>
      <c r="C61" s="5"/>
      <c r="D61" s="5"/>
      <c r="E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spans="1:19" ht="18.75" x14ac:dyDescent="0.3">
      <c r="A62" s="10"/>
      <c r="B62" s="4"/>
      <c r="C62" s="4"/>
      <c r="D62" s="4"/>
      <c r="E62" s="4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spans="1:19" ht="15.75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1:19" ht="18.75" x14ac:dyDescent="0.3">
      <c r="A64" s="11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pans="1:19" ht="18.75" x14ac:dyDescent="0.3">
      <c r="A65" s="11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1:19" ht="18.75" x14ac:dyDescent="0.3">
      <c r="A66" s="11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spans="1:19" ht="18.75" x14ac:dyDescent="0.3">
      <c r="A67" s="11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1:19" ht="18.75" x14ac:dyDescent="0.3">
      <c r="A68" s="11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1:19" ht="18.75" x14ac:dyDescent="0.3">
      <c r="A69" s="11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spans="1:19" ht="18.75" x14ac:dyDescent="0.3">
      <c r="A70" s="11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1:19" ht="18.75" x14ac:dyDescent="0.3">
      <c r="A71" s="11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pans="1:19" ht="18.75" x14ac:dyDescent="0.3">
      <c r="A72" s="11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19" ht="18.75" x14ac:dyDescent="0.3">
      <c r="A73" s="11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1:19" ht="18.75" x14ac:dyDescent="0.3">
      <c r="A74" s="11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19" ht="18.75" x14ac:dyDescent="0.3">
      <c r="A75" s="11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pans="1:19" ht="18.75" x14ac:dyDescent="0.3">
      <c r="A76" s="11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1:19" ht="18.75" x14ac:dyDescent="0.3">
      <c r="A77" s="11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pans="1:19" ht="18.75" x14ac:dyDescent="0.3">
      <c r="A78" s="11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pans="1:19" ht="18.75" x14ac:dyDescent="0.3">
      <c r="A79" s="11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1:19" ht="18.75" x14ac:dyDescent="0.3">
      <c r="A80" s="11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pans="1:19" ht="18.75" x14ac:dyDescent="0.3">
      <c r="A81" s="11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</sheetData>
  <sheetProtection password="C7EC" sheet="1" objects="1" scenarios="1"/>
  <mergeCells count="37">
    <mergeCell ref="M37:N37"/>
    <mergeCell ref="L8:M8"/>
    <mergeCell ref="M32:N32"/>
    <mergeCell ref="M33:N33"/>
    <mergeCell ref="M34:N34"/>
    <mergeCell ref="M35:N35"/>
    <mergeCell ref="M36:N36"/>
    <mergeCell ref="M31:N31"/>
    <mergeCell ref="N14:O14"/>
    <mergeCell ref="E37:F37"/>
    <mergeCell ref="E20:F20"/>
    <mergeCell ref="E21:F21"/>
    <mergeCell ref="E22:F22"/>
    <mergeCell ref="E23:F23"/>
    <mergeCell ref="E24:F24"/>
    <mergeCell ref="E25:F25"/>
    <mergeCell ref="E26:F26"/>
    <mergeCell ref="E27:F27"/>
    <mergeCell ref="E32:F32"/>
    <mergeCell ref="E33:F33"/>
    <mergeCell ref="E34:F34"/>
    <mergeCell ref="E35:F35"/>
    <mergeCell ref="E36:F36"/>
    <mergeCell ref="E30:F30"/>
    <mergeCell ref="E31:F31"/>
    <mergeCell ref="A18:F18"/>
    <mergeCell ref="L18:S18"/>
    <mergeCell ref="M30:N30"/>
    <mergeCell ref="J12:K12"/>
    <mergeCell ref="J13:K13"/>
    <mergeCell ref="N12:O12"/>
    <mergeCell ref="N13:O13"/>
    <mergeCell ref="C11:D11"/>
    <mergeCell ref="J11:K11"/>
    <mergeCell ref="N11:O11"/>
    <mergeCell ref="B4:G4"/>
    <mergeCell ref="A1:AI2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7"/>
  <sheetViews>
    <sheetView workbookViewId="0">
      <selection activeCell="L11" sqref="L11"/>
    </sheetView>
  </sheetViews>
  <sheetFormatPr baseColWidth="10" defaultRowHeight="15" x14ac:dyDescent="0.25"/>
  <cols>
    <col min="1" max="1" width="5.140625" customWidth="1"/>
    <col min="2" max="2" width="10.140625" bestFit="1" customWidth="1"/>
    <col min="3" max="3" width="5.140625" customWidth="1"/>
    <col min="4" max="4" width="5.5703125" customWidth="1"/>
    <col min="5" max="5" width="8.42578125" customWidth="1"/>
    <col min="6" max="6" width="6.85546875" customWidth="1"/>
    <col min="7" max="7" width="7" customWidth="1"/>
    <col min="8" max="8" width="9" hidden="1" customWidth="1"/>
    <col min="9" max="9" width="11.28515625" bestFit="1" customWidth="1"/>
    <col min="10" max="10" width="6.140625" customWidth="1"/>
    <col min="11" max="11" width="9.28515625" customWidth="1"/>
    <col min="12" max="12" width="5.85546875" customWidth="1"/>
    <col min="13" max="13" width="7.5703125" customWidth="1"/>
    <col min="14" max="14" width="6" customWidth="1"/>
    <col min="15" max="15" width="6.7109375" customWidth="1"/>
    <col min="16" max="16" width="6" customWidth="1"/>
    <col min="17" max="18" width="6.140625" customWidth="1"/>
    <col min="19" max="19" width="6.7109375" customWidth="1"/>
    <col min="20" max="21" width="7.42578125" customWidth="1"/>
    <col min="22" max="22" width="10.28515625" customWidth="1"/>
    <col min="23" max="23" width="7.140625" customWidth="1"/>
    <col min="24" max="24" width="11.28515625" customWidth="1"/>
    <col min="25" max="25" width="10" hidden="1" customWidth="1"/>
    <col min="26" max="26" width="6.85546875" customWidth="1"/>
    <col min="27" max="27" width="7.140625" customWidth="1"/>
    <col min="28" max="30" width="5.28515625" customWidth="1"/>
    <col min="31" max="31" width="5.7109375" customWidth="1"/>
    <col min="32" max="34" width="10.7109375" customWidth="1"/>
    <col min="35" max="35" width="8.42578125" customWidth="1"/>
    <col min="36" max="36" width="11.42578125" customWidth="1"/>
  </cols>
  <sheetData>
    <row r="1" spans="1:35" ht="23.25" customHeight="1" x14ac:dyDescent="0.25">
      <c r="A1" s="86" t="s">
        <v>50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</row>
    <row r="2" spans="1:35" ht="15" customHeigh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</row>
    <row r="3" spans="1:35" ht="18.75" x14ac:dyDescent="0.3">
      <c r="A3" s="10" t="s">
        <v>7</v>
      </c>
      <c r="B3" s="4"/>
      <c r="C3" s="4"/>
      <c r="D3" s="4"/>
      <c r="E3" s="4"/>
      <c r="F3" s="4"/>
      <c r="G3" s="5"/>
    </row>
    <row r="4" spans="1:35" ht="15.75" x14ac:dyDescent="0.25">
      <c r="A4" s="5"/>
      <c r="B4" s="87" t="s">
        <v>42</v>
      </c>
      <c r="C4" s="87"/>
      <c r="D4" s="87"/>
      <c r="E4" s="87"/>
      <c r="F4" s="87"/>
      <c r="G4" s="87"/>
    </row>
    <row r="5" spans="1:35" ht="15.75" x14ac:dyDescent="0.25">
      <c r="A5" s="5"/>
      <c r="B5" s="26"/>
      <c r="C5" s="26"/>
      <c r="D5" s="26"/>
      <c r="E5" s="26"/>
      <c r="F5" s="26"/>
      <c r="G5" s="26"/>
    </row>
    <row r="6" spans="1:35" s="2" customFormat="1" ht="21" x14ac:dyDescent="0.3">
      <c r="A6" s="12" t="s">
        <v>46</v>
      </c>
      <c r="B6" s="6"/>
      <c r="C6" s="12" t="s">
        <v>47</v>
      </c>
      <c r="D6" s="6"/>
      <c r="E6" s="12" t="s">
        <v>48</v>
      </c>
      <c r="F6" s="6"/>
      <c r="G6" s="12" t="s">
        <v>49</v>
      </c>
    </row>
    <row r="7" spans="1:35" ht="15.75" customHeight="1" x14ac:dyDescent="0.25">
      <c r="A7" s="1"/>
      <c r="B7" s="1"/>
      <c r="C7" s="5"/>
      <c r="D7" s="1"/>
      <c r="E7" s="5"/>
      <c r="F7" s="1"/>
      <c r="G7" s="1"/>
      <c r="H7" s="5"/>
      <c r="Q7" s="5"/>
    </row>
    <row r="8" spans="1:35" ht="18" x14ac:dyDescent="0.25">
      <c r="A8" s="5"/>
      <c r="B8" s="33"/>
      <c r="C8" s="5"/>
      <c r="D8" s="33"/>
      <c r="E8" s="5"/>
      <c r="F8" s="33"/>
      <c r="G8" s="5"/>
      <c r="H8" s="5"/>
      <c r="K8" s="25" t="s">
        <v>66</v>
      </c>
      <c r="L8" s="9" t="s">
        <v>24</v>
      </c>
      <c r="M8" s="33"/>
      <c r="N8" s="25" t="s">
        <v>52</v>
      </c>
      <c r="O8" s="9" t="s">
        <v>24</v>
      </c>
      <c r="P8" s="85"/>
      <c r="Q8" s="85"/>
      <c r="R8" s="23" t="s">
        <v>55</v>
      </c>
      <c r="S8" s="9" t="s">
        <v>24</v>
      </c>
      <c r="T8" s="85"/>
      <c r="U8" s="85"/>
      <c r="V8" s="23" t="s">
        <v>56</v>
      </c>
    </row>
    <row r="9" spans="1:35" ht="18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25"/>
      <c r="L9" s="25"/>
      <c r="M9" s="25"/>
      <c r="N9" s="25" t="s">
        <v>67</v>
      </c>
      <c r="O9" s="9" t="s">
        <v>24</v>
      </c>
      <c r="P9" s="85"/>
      <c r="Q9" s="85"/>
      <c r="R9" s="23" t="s">
        <v>55</v>
      </c>
      <c r="S9" s="9" t="s">
        <v>24</v>
      </c>
      <c r="T9" s="85"/>
      <c r="U9" s="85"/>
      <c r="V9" s="23" t="s">
        <v>56</v>
      </c>
    </row>
    <row r="10" spans="1:35" ht="17.2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23" t="s">
        <v>68</v>
      </c>
      <c r="S10" s="9" t="s">
        <v>24</v>
      </c>
      <c r="T10" s="85"/>
      <c r="U10" s="85"/>
      <c r="V10" s="23" t="s">
        <v>56</v>
      </c>
    </row>
    <row r="11" spans="1:35" ht="15.75" x14ac:dyDescent="0.25"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35" ht="18.75" x14ac:dyDescent="0.3">
      <c r="A12" s="10" t="s">
        <v>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35" ht="15.75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35" ht="15.75" x14ac:dyDescent="0.25">
      <c r="A14" s="88" t="s">
        <v>23</v>
      </c>
      <c r="B14" s="88"/>
      <c r="C14" s="88"/>
      <c r="D14" s="88"/>
      <c r="E14" s="88"/>
      <c r="F14" s="88"/>
      <c r="G14" s="34">
        <v>67</v>
      </c>
      <c r="J14" s="27"/>
      <c r="K14" s="5"/>
      <c r="L14" s="88" t="s">
        <v>43</v>
      </c>
      <c r="M14" s="88"/>
      <c r="N14" s="88"/>
      <c r="O14" s="88"/>
      <c r="P14" s="88"/>
      <c r="Q14" s="88"/>
      <c r="R14" s="88"/>
      <c r="S14" s="88"/>
      <c r="T14" s="34">
        <v>3</v>
      </c>
    </row>
    <row r="15" spans="1:35" ht="15.75" x14ac:dyDescent="0.25">
      <c r="A15" s="5"/>
      <c r="B15" s="5"/>
      <c r="C15" s="5"/>
      <c r="D15" s="5"/>
      <c r="E15" s="5"/>
      <c r="F15" s="5"/>
      <c r="G15" s="5"/>
      <c r="H15" s="5"/>
      <c r="I15" s="39" t="s">
        <v>45</v>
      </c>
      <c r="J15" s="27"/>
      <c r="K15" s="5"/>
      <c r="L15" s="5"/>
      <c r="M15" s="5"/>
      <c r="N15" s="5"/>
      <c r="O15" s="5"/>
      <c r="P15" s="5"/>
      <c r="Q15" s="5"/>
      <c r="R15" s="5"/>
      <c r="S15" s="5"/>
      <c r="T15" s="3"/>
      <c r="U15" s="3"/>
      <c r="X15" s="39" t="s">
        <v>45</v>
      </c>
    </row>
    <row r="16" spans="1:35" ht="18.75" x14ac:dyDescent="0.3">
      <c r="A16" s="11" t="s">
        <v>8</v>
      </c>
      <c r="B16" s="8">
        <f>$G$14+7.57</f>
        <v>74.569999999999993</v>
      </c>
      <c r="C16" s="8" t="s">
        <v>51</v>
      </c>
      <c r="D16" s="9" t="s">
        <v>24</v>
      </c>
      <c r="E16" s="90"/>
      <c r="F16" s="90"/>
      <c r="G16" s="8" t="s">
        <v>52</v>
      </c>
      <c r="H16">
        <f>B16*100</f>
        <v>7456.9999999999991</v>
      </c>
      <c r="I16" s="38" t="str">
        <f t="shared" ref="I16:I31" si="0">IF(E16="","x",IF(E16=H16,"richtig","falsch"))</f>
        <v>x</v>
      </c>
      <c r="J16" s="27"/>
      <c r="L16" s="11" t="s">
        <v>26</v>
      </c>
      <c r="M16" s="23">
        <v>0</v>
      </c>
      <c r="N16" s="8" t="s">
        <v>51</v>
      </c>
      <c r="O16" s="23">
        <f>2+T14</f>
        <v>5</v>
      </c>
      <c r="P16" s="8" t="s">
        <v>52</v>
      </c>
      <c r="Q16" s="23">
        <v>78</v>
      </c>
      <c r="R16" s="23" t="s">
        <v>55</v>
      </c>
      <c r="S16" s="23">
        <v>35</v>
      </c>
      <c r="T16" s="23" t="s">
        <v>56</v>
      </c>
      <c r="U16" s="24" t="s">
        <v>24</v>
      </c>
      <c r="V16" s="36"/>
      <c r="W16" s="8" t="s">
        <v>52</v>
      </c>
      <c r="X16" s="38" t="str">
        <f>IF(V16="","x",IF(V16=Y16,"richtig","falsch"))</f>
        <v>x</v>
      </c>
      <c r="Y16">
        <v>5.7835000000000001</v>
      </c>
      <c r="Z16" s="23"/>
      <c r="AC16" s="23"/>
      <c r="AD16" s="23"/>
    </row>
    <row r="17" spans="1:37" ht="18.75" x14ac:dyDescent="0.3">
      <c r="A17" s="11" t="s">
        <v>9</v>
      </c>
      <c r="B17" s="8">
        <f>$G$14+87.83</f>
        <v>154.82999999999998</v>
      </c>
      <c r="C17" s="8" t="s">
        <v>52</v>
      </c>
      <c r="D17" s="9" t="s">
        <v>24</v>
      </c>
      <c r="E17" s="92"/>
      <c r="F17" s="92"/>
      <c r="G17" s="8" t="s">
        <v>53</v>
      </c>
      <c r="H17">
        <f>B17*10000</f>
        <v>1548299.9999999998</v>
      </c>
      <c r="I17" s="38" t="str">
        <f t="shared" si="0"/>
        <v>x</v>
      </c>
      <c r="J17" s="27"/>
      <c r="L17" s="11" t="s">
        <v>27</v>
      </c>
      <c r="M17" s="8">
        <v>2</v>
      </c>
      <c r="N17" s="8" t="s">
        <v>51</v>
      </c>
      <c r="O17" s="8">
        <v>9</v>
      </c>
      <c r="P17" s="8" t="s">
        <v>52</v>
      </c>
      <c r="Q17" s="23">
        <f>11+T14</f>
        <v>14</v>
      </c>
      <c r="R17" s="23" t="s">
        <v>55</v>
      </c>
      <c r="S17" s="23">
        <v>26</v>
      </c>
      <c r="T17" s="23" t="s">
        <v>56</v>
      </c>
      <c r="U17" s="24" t="s">
        <v>24</v>
      </c>
      <c r="V17" s="36"/>
      <c r="W17" s="8" t="s">
        <v>51</v>
      </c>
      <c r="X17" s="38" t="str">
        <f t="shared" ref="X17:X23" si="1">IF(V17="","x",IF(V17=Y17,"richtig","falsch"))</f>
        <v>x</v>
      </c>
      <c r="Y17">
        <v>2.0914259999999998</v>
      </c>
      <c r="Z17" s="23"/>
      <c r="AC17" s="23"/>
      <c r="AD17" s="23"/>
    </row>
    <row r="18" spans="1:37" ht="18.75" x14ac:dyDescent="0.3">
      <c r="A18" s="11" t="s">
        <v>10</v>
      </c>
      <c r="B18" s="8">
        <f>$G$14+36.4</f>
        <v>103.4</v>
      </c>
      <c r="C18" s="8" t="s">
        <v>54</v>
      </c>
      <c r="D18" s="9" t="s">
        <v>24</v>
      </c>
      <c r="E18" s="92"/>
      <c r="F18" s="92"/>
      <c r="G18" s="8" t="s">
        <v>53</v>
      </c>
      <c r="H18">
        <f>B18*100</f>
        <v>10340</v>
      </c>
      <c r="I18" s="38" t="str">
        <f t="shared" si="0"/>
        <v>x</v>
      </c>
      <c r="J18" s="27"/>
      <c r="L18" s="11" t="s">
        <v>28</v>
      </c>
      <c r="M18" s="8">
        <v>2</v>
      </c>
      <c r="N18" s="8" t="s">
        <v>51</v>
      </c>
      <c r="O18" s="8">
        <v>17</v>
      </c>
      <c r="P18" s="8" t="s">
        <v>52</v>
      </c>
      <c r="Q18" s="23">
        <f>1+T14</f>
        <v>4</v>
      </c>
      <c r="R18" s="23" t="s">
        <v>55</v>
      </c>
      <c r="S18" s="23">
        <v>9</v>
      </c>
      <c r="T18" s="23" t="s">
        <v>56</v>
      </c>
      <c r="U18" s="24" t="s">
        <v>24</v>
      </c>
      <c r="V18" s="36"/>
      <c r="W18" s="23" t="s">
        <v>55</v>
      </c>
      <c r="X18" s="38" t="str">
        <f t="shared" si="1"/>
        <v>x</v>
      </c>
      <c r="Y18">
        <v>21704.09</v>
      </c>
      <c r="Z18" s="23"/>
      <c r="AC18" s="23"/>
      <c r="AD18" s="23"/>
    </row>
    <row r="19" spans="1:37" ht="18.75" x14ac:dyDescent="0.3">
      <c r="A19" s="11" t="s">
        <v>11</v>
      </c>
      <c r="B19" s="8">
        <f>$G$14+6.95</f>
        <v>73.95</v>
      </c>
      <c r="C19" s="8" t="s">
        <v>51</v>
      </c>
      <c r="D19" s="9" t="s">
        <v>24</v>
      </c>
      <c r="E19" s="92"/>
      <c r="F19" s="92"/>
      <c r="G19" s="8" t="s">
        <v>52</v>
      </c>
      <c r="H19">
        <f>B19*100</f>
        <v>7395</v>
      </c>
      <c r="I19" s="38" t="str">
        <f t="shared" si="0"/>
        <v>x</v>
      </c>
      <c r="J19" s="27"/>
      <c r="K19" s="8"/>
      <c r="L19" s="11" t="s">
        <v>29</v>
      </c>
      <c r="M19" s="8">
        <v>0</v>
      </c>
      <c r="N19" s="8" t="s">
        <v>51</v>
      </c>
      <c r="O19" s="8">
        <v>3</v>
      </c>
      <c r="P19" s="8" t="s">
        <v>52</v>
      </c>
      <c r="Q19" s="23">
        <v>50</v>
      </c>
      <c r="R19" s="23" t="s">
        <v>55</v>
      </c>
      <c r="S19" s="23">
        <f>2+T14</f>
        <v>5</v>
      </c>
      <c r="T19" s="23" t="s">
        <v>56</v>
      </c>
      <c r="U19" s="24" t="s">
        <v>24</v>
      </c>
      <c r="V19" s="36"/>
      <c r="W19" s="23" t="s">
        <v>56</v>
      </c>
      <c r="X19" s="38" t="str">
        <f t="shared" si="1"/>
        <v>x</v>
      </c>
      <c r="Y19">
        <v>35005</v>
      </c>
      <c r="Z19" s="23"/>
      <c r="AC19" s="23"/>
      <c r="AD19" s="23"/>
    </row>
    <row r="20" spans="1:37" ht="18.75" x14ac:dyDescent="0.3">
      <c r="A20" s="11" t="s">
        <v>12</v>
      </c>
      <c r="B20" s="8">
        <f>$G$14+3.4279</f>
        <v>70.427899999999994</v>
      </c>
      <c r="C20" s="8" t="s">
        <v>51</v>
      </c>
      <c r="D20" s="9" t="s">
        <v>24</v>
      </c>
      <c r="E20" s="92"/>
      <c r="F20" s="92"/>
      <c r="G20" s="8" t="s">
        <v>54</v>
      </c>
      <c r="H20">
        <f>B20*10000</f>
        <v>704278.99999999988</v>
      </c>
      <c r="I20" s="38" t="str">
        <f t="shared" si="0"/>
        <v>x</v>
      </c>
      <c r="J20" s="27"/>
      <c r="L20" s="11" t="s">
        <v>30</v>
      </c>
      <c r="M20" s="8">
        <v>87</v>
      </c>
      <c r="N20" s="8" t="s">
        <v>51</v>
      </c>
      <c r="O20" s="8">
        <v>9</v>
      </c>
      <c r="P20" s="8" t="s">
        <v>52</v>
      </c>
      <c r="Q20" s="23">
        <v>25</v>
      </c>
      <c r="R20" s="23" t="s">
        <v>55</v>
      </c>
      <c r="S20" s="23">
        <v>73</v>
      </c>
      <c r="T20" s="23" t="s">
        <v>56</v>
      </c>
      <c r="U20" s="24" t="s">
        <v>24</v>
      </c>
      <c r="V20" s="36"/>
      <c r="W20" s="8" t="s">
        <v>52</v>
      </c>
      <c r="X20" s="38" t="str">
        <f t="shared" si="1"/>
        <v>x</v>
      </c>
      <c r="Y20">
        <v>8709.2572999999993</v>
      </c>
      <c r="Z20" s="23"/>
      <c r="AC20" s="23"/>
      <c r="AD20" s="23"/>
    </row>
    <row r="21" spans="1:37" ht="18.75" x14ac:dyDescent="0.3">
      <c r="A21" s="11" t="s">
        <v>13</v>
      </c>
      <c r="B21" s="8">
        <f>$G$14+436</f>
        <v>503</v>
      </c>
      <c r="C21" s="8" t="s">
        <v>52</v>
      </c>
      <c r="D21" s="9" t="s">
        <v>24</v>
      </c>
      <c r="E21" s="92"/>
      <c r="F21" s="92"/>
      <c r="G21" s="8" t="s">
        <v>54</v>
      </c>
      <c r="H21">
        <f>B21*100</f>
        <v>50300</v>
      </c>
      <c r="I21" s="38" t="str">
        <f t="shared" si="0"/>
        <v>x</v>
      </c>
      <c r="J21" s="27"/>
      <c r="L21" s="11" t="s">
        <v>31</v>
      </c>
      <c r="M21" s="8">
        <v>0</v>
      </c>
      <c r="N21" s="8" t="s">
        <v>51</v>
      </c>
      <c r="O21" s="8">
        <v>0</v>
      </c>
      <c r="P21" s="8" t="s">
        <v>52</v>
      </c>
      <c r="Q21">
        <f>44+T14</f>
        <v>47</v>
      </c>
      <c r="R21" s="23" t="s">
        <v>55</v>
      </c>
      <c r="S21" s="23">
        <v>18</v>
      </c>
      <c r="T21" s="23" t="s">
        <v>56</v>
      </c>
      <c r="U21" s="24" t="s">
        <v>24</v>
      </c>
      <c r="V21" s="36"/>
      <c r="W21" s="23" t="s">
        <v>55</v>
      </c>
      <c r="X21" s="38" t="str">
        <f t="shared" si="1"/>
        <v>x</v>
      </c>
      <c r="Y21">
        <v>47.18</v>
      </c>
      <c r="Z21" s="23"/>
      <c r="AC21" s="23"/>
      <c r="AD21" s="23"/>
    </row>
    <row r="22" spans="1:37" ht="18.75" x14ac:dyDescent="0.3">
      <c r="A22" s="11" t="s">
        <v>14</v>
      </c>
      <c r="B22" s="8">
        <f>$G$14+15.243</f>
        <v>82.242999999999995</v>
      </c>
      <c r="C22" s="8" t="s">
        <v>51</v>
      </c>
      <c r="D22" s="9" t="s">
        <v>24</v>
      </c>
      <c r="E22" s="92"/>
      <c r="F22" s="92"/>
      <c r="G22" s="8" t="s">
        <v>53</v>
      </c>
      <c r="H22">
        <f>B22*1000000</f>
        <v>82243000</v>
      </c>
      <c r="I22" s="38" t="str">
        <f t="shared" si="0"/>
        <v>x</v>
      </c>
      <c r="J22" s="27"/>
      <c r="L22" s="11" t="s">
        <v>32</v>
      </c>
      <c r="M22" s="8">
        <f>81+T14</f>
        <v>84</v>
      </c>
      <c r="N22" s="8" t="s">
        <v>51</v>
      </c>
      <c r="O22" s="8">
        <v>6</v>
      </c>
      <c r="P22" s="8" t="s">
        <v>52</v>
      </c>
      <c r="Q22" s="23">
        <v>0</v>
      </c>
      <c r="R22" s="23" t="s">
        <v>55</v>
      </c>
      <c r="S22" s="23">
        <v>0</v>
      </c>
      <c r="T22" s="23" t="s">
        <v>56</v>
      </c>
      <c r="U22" s="24" t="s">
        <v>24</v>
      </c>
      <c r="V22" s="36"/>
      <c r="W22" s="8" t="s">
        <v>51</v>
      </c>
      <c r="X22" s="38" t="str">
        <f t="shared" si="1"/>
        <v>x</v>
      </c>
      <c r="Y22">
        <v>84.06</v>
      </c>
      <c r="Z22" s="23"/>
      <c r="AC22" s="23"/>
      <c r="AD22" s="23"/>
    </row>
    <row r="23" spans="1:37" ht="18.75" x14ac:dyDescent="0.3">
      <c r="A23" s="11"/>
      <c r="B23" s="8"/>
      <c r="C23" s="8"/>
      <c r="D23" s="9"/>
      <c r="E23" s="5"/>
      <c r="F23" s="5"/>
      <c r="G23" s="8"/>
      <c r="I23" s="5"/>
      <c r="J23" s="27"/>
      <c r="L23" s="11" t="s">
        <v>33</v>
      </c>
      <c r="M23" s="8">
        <v>62</v>
      </c>
      <c r="N23" s="8" t="s">
        <v>51</v>
      </c>
      <c r="O23" s="8">
        <v>0</v>
      </c>
      <c r="P23" s="8" t="s">
        <v>52</v>
      </c>
      <c r="Q23" s="23">
        <f>14+T14</f>
        <v>17</v>
      </c>
      <c r="R23" s="23" t="s">
        <v>55</v>
      </c>
      <c r="S23" s="23">
        <v>66</v>
      </c>
      <c r="T23" s="23" t="s">
        <v>56</v>
      </c>
      <c r="U23" s="24" t="s">
        <v>24</v>
      </c>
      <c r="V23" s="36"/>
      <c r="W23" s="23" t="s">
        <v>56</v>
      </c>
      <c r="X23" s="38" t="str">
        <f t="shared" si="1"/>
        <v>x</v>
      </c>
      <c r="Y23" s="41">
        <v>62001766</v>
      </c>
      <c r="Z23" s="23"/>
      <c r="AC23" s="23"/>
      <c r="AD23" s="23"/>
    </row>
    <row r="24" spans="1:37" ht="18.75" x14ac:dyDescent="0.3">
      <c r="A24" s="16"/>
      <c r="B24" s="17"/>
      <c r="C24" s="17"/>
      <c r="D24" s="18"/>
      <c r="E24" s="17"/>
      <c r="F24" s="17"/>
      <c r="G24" s="21"/>
      <c r="H24" s="5"/>
      <c r="I24" s="5"/>
      <c r="J24" s="27"/>
      <c r="K24" s="14"/>
      <c r="L24" s="21"/>
      <c r="M24" s="21"/>
      <c r="N24" s="21"/>
      <c r="O24" s="21"/>
      <c r="P24" s="21"/>
      <c r="Q24" s="21"/>
      <c r="R24" s="21"/>
      <c r="S24" s="21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</row>
    <row r="25" spans="1:37" ht="18.75" x14ac:dyDescent="0.3">
      <c r="A25" s="11"/>
      <c r="B25" s="8"/>
      <c r="C25" s="8"/>
      <c r="D25" s="9"/>
      <c r="E25" s="8"/>
      <c r="F25" s="8"/>
      <c r="G25" s="13"/>
      <c r="H25" s="5"/>
      <c r="I25" s="5"/>
      <c r="J25" s="27"/>
      <c r="K25" s="14"/>
      <c r="L25" s="5"/>
      <c r="M25" s="5"/>
      <c r="N25" s="5"/>
      <c r="O25" s="5"/>
      <c r="P25" s="5"/>
      <c r="Q25" s="5"/>
      <c r="R25" s="5"/>
      <c r="S25" s="5"/>
      <c r="AK25" s="8"/>
    </row>
    <row r="26" spans="1:37" ht="18.75" x14ac:dyDescent="0.3">
      <c r="A26" s="14" t="s">
        <v>16</v>
      </c>
      <c r="B26" s="15">
        <f>$G$14+24556</f>
        <v>24623</v>
      </c>
      <c r="C26" s="15" t="s">
        <v>54</v>
      </c>
      <c r="D26" s="20" t="s">
        <v>24</v>
      </c>
      <c r="E26" s="90"/>
      <c r="F26" s="90"/>
      <c r="G26" s="15" t="s">
        <v>51</v>
      </c>
      <c r="H26">
        <f>B26/10000</f>
        <v>2.4622999999999999</v>
      </c>
      <c r="I26" s="38" t="str">
        <f t="shared" si="0"/>
        <v>x</v>
      </c>
      <c r="J26" s="27"/>
      <c r="L26" s="11" t="s">
        <v>34</v>
      </c>
      <c r="M26" s="91">
        <f>24.3221+T14</f>
        <v>27.322099999999999</v>
      </c>
      <c r="N26" s="91"/>
      <c r="O26" s="8" t="s">
        <v>52</v>
      </c>
      <c r="P26" s="9" t="s">
        <v>24</v>
      </c>
      <c r="Q26" s="37"/>
      <c r="R26" s="8" t="s">
        <v>51</v>
      </c>
      <c r="S26" s="36"/>
      <c r="T26" s="8" t="s">
        <v>52</v>
      </c>
      <c r="U26" s="36"/>
      <c r="V26" s="23" t="s">
        <v>55</v>
      </c>
      <c r="W26" s="36"/>
      <c r="X26" s="23" t="s">
        <v>56</v>
      </c>
    </row>
    <row r="27" spans="1:37" ht="18.75" x14ac:dyDescent="0.3">
      <c r="A27" s="11" t="s">
        <v>17</v>
      </c>
      <c r="B27" s="8">
        <f>$G$14+66</f>
        <v>133</v>
      </c>
      <c r="C27" s="8" t="s">
        <v>52</v>
      </c>
      <c r="D27" s="9" t="s">
        <v>24</v>
      </c>
      <c r="E27" s="90"/>
      <c r="F27" s="90"/>
      <c r="G27" s="8" t="s">
        <v>51</v>
      </c>
      <c r="H27">
        <f>B27/100</f>
        <v>1.33</v>
      </c>
      <c r="I27" s="38" t="str">
        <f t="shared" si="0"/>
        <v>x</v>
      </c>
      <c r="J27" s="27"/>
      <c r="L27" s="11" t="s">
        <v>35</v>
      </c>
      <c r="M27" s="91">
        <f>4.99+T14</f>
        <v>7.99</v>
      </c>
      <c r="N27" s="91"/>
      <c r="O27" s="8" t="s">
        <v>51</v>
      </c>
      <c r="P27" s="9" t="s">
        <v>24</v>
      </c>
      <c r="Q27" s="36"/>
      <c r="R27" s="8" t="s">
        <v>51</v>
      </c>
      <c r="S27" s="36"/>
      <c r="T27" s="8" t="s">
        <v>52</v>
      </c>
      <c r="U27" s="36"/>
      <c r="V27" s="23" t="s">
        <v>55</v>
      </c>
      <c r="W27" s="36"/>
      <c r="X27" s="23" t="s">
        <v>56</v>
      </c>
    </row>
    <row r="28" spans="1:37" ht="18.75" x14ac:dyDescent="0.3">
      <c r="A28" s="11" t="s">
        <v>18</v>
      </c>
      <c r="B28" s="8">
        <f>$G$14+1540</f>
        <v>1607</v>
      </c>
      <c r="C28" s="8" t="s">
        <v>53</v>
      </c>
      <c r="D28" s="9" t="s">
        <v>24</v>
      </c>
      <c r="E28" s="90"/>
      <c r="F28" s="90"/>
      <c r="G28" s="8" t="s">
        <v>54</v>
      </c>
      <c r="H28">
        <f>B28/100</f>
        <v>16.07</v>
      </c>
      <c r="I28" s="38" t="str">
        <f t="shared" si="0"/>
        <v>x</v>
      </c>
      <c r="J28" s="27"/>
      <c r="L28" s="11" t="s">
        <v>36</v>
      </c>
      <c r="M28" s="91">
        <f>41.6+T14</f>
        <v>44.6</v>
      </c>
      <c r="N28" s="91"/>
      <c r="O28" s="8" t="s">
        <v>52</v>
      </c>
      <c r="P28" s="9" t="s">
        <v>24</v>
      </c>
      <c r="Q28" s="36"/>
      <c r="R28" s="8" t="s">
        <v>51</v>
      </c>
      <c r="S28" s="36"/>
      <c r="T28" s="8" t="s">
        <v>52</v>
      </c>
      <c r="U28" s="36"/>
      <c r="V28" s="23" t="s">
        <v>55</v>
      </c>
      <c r="W28" s="36"/>
      <c r="X28" s="23" t="s">
        <v>56</v>
      </c>
    </row>
    <row r="29" spans="1:37" ht="18.75" x14ac:dyDescent="0.3">
      <c r="A29" s="11" t="s">
        <v>19</v>
      </c>
      <c r="B29" s="40">
        <f>$G$14+23000023</f>
        <v>23000090</v>
      </c>
      <c r="C29" s="8" t="s">
        <v>53</v>
      </c>
      <c r="D29" s="9" t="s">
        <v>24</v>
      </c>
      <c r="E29" s="90"/>
      <c r="F29" s="90"/>
      <c r="G29" s="8" t="s">
        <v>51</v>
      </c>
      <c r="H29">
        <f>B29/1000000</f>
        <v>23.00009</v>
      </c>
      <c r="I29" s="38" t="str">
        <f t="shared" si="0"/>
        <v>x</v>
      </c>
      <c r="J29" s="27"/>
      <c r="L29" s="11" t="s">
        <v>37</v>
      </c>
      <c r="M29" s="91">
        <f>2362.8+T14</f>
        <v>2365.8000000000002</v>
      </c>
      <c r="N29" s="91"/>
      <c r="O29" s="23" t="s">
        <v>55</v>
      </c>
      <c r="P29" s="9" t="s">
        <v>24</v>
      </c>
      <c r="Q29" s="36"/>
      <c r="R29" s="8" t="s">
        <v>51</v>
      </c>
      <c r="S29" s="36"/>
      <c r="T29" s="8" t="s">
        <v>52</v>
      </c>
      <c r="U29" s="36"/>
      <c r="V29" s="23" t="s">
        <v>55</v>
      </c>
      <c r="W29" s="36"/>
      <c r="X29" s="23" t="s">
        <v>56</v>
      </c>
    </row>
    <row r="30" spans="1:37" ht="18.75" x14ac:dyDescent="0.3">
      <c r="A30" s="11" t="s">
        <v>20</v>
      </c>
      <c r="B30" s="8">
        <f>$G$14+18888</f>
        <v>18955</v>
      </c>
      <c r="C30" s="8" t="s">
        <v>54</v>
      </c>
      <c r="D30" s="9" t="s">
        <v>24</v>
      </c>
      <c r="E30" s="90"/>
      <c r="F30" s="90"/>
      <c r="G30" s="8" t="s">
        <v>52</v>
      </c>
      <c r="H30">
        <f>B30/100</f>
        <v>189.55</v>
      </c>
      <c r="I30" s="38" t="str">
        <f t="shared" si="0"/>
        <v>x</v>
      </c>
      <c r="J30" s="27"/>
      <c r="L30" s="11" t="s">
        <v>38</v>
      </c>
      <c r="M30" s="91">
        <f>9452+T14</f>
        <v>9455</v>
      </c>
      <c r="N30" s="91"/>
      <c r="O30" s="23" t="s">
        <v>56</v>
      </c>
      <c r="P30" s="9" t="s">
        <v>24</v>
      </c>
      <c r="Q30" s="36"/>
      <c r="R30" s="8" t="s">
        <v>51</v>
      </c>
      <c r="S30" s="36"/>
      <c r="T30" s="8" t="s">
        <v>52</v>
      </c>
      <c r="U30" s="36"/>
      <c r="V30" s="23" t="s">
        <v>55</v>
      </c>
      <c r="W30" s="36"/>
      <c r="X30" s="23" t="s">
        <v>56</v>
      </c>
    </row>
    <row r="31" spans="1:37" ht="18.75" x14ac:dyDescent="0.3">
      <c r="A31" s="11" t="s">
        <v>21</v>
      </c>
      <c r="B31" s="8">
        <f>$G$14+7643</f>
        <v>7710</v>
      </c>
      <c r="C31" s="8" t="s">
        <v>53</v>
      </c>
      <c r="D31" s="9" t="s">
        <v>24</v>
      </c>
      <c r="E31" s="90"/>
      <c r="F31" s="90"/>
      <c r="G31" s="8" t="s">
        <v>52</v>
      </c>
      <c r="H31">
        <f>B31/10000</f>
        <v>0.77100000000000002</v>
      </c>
      <c r="I31" s="38" t="str">
        <f t="shared" si="0"/>
        <v>x</v>
      </c>
      <c r="J31" s="27"/>
      <c r="L31" s="11" t="s">
        <v>39</v>
      </c>
      <c r="M31" s="91">
        <f>0.87+T14</f>
        <v>3.87</v>
      </c>
      <c r="N31" s="91"/>
      <c r="O31" s="8" t="s">
        <v>51</v>
      </c>
      <c r="P31" s="9" t="s">
        <v>24</v>
      </c>
      <c r="Q31" s="36"/>
      <c r="R31" s="8" t="s">
        <v>51</v>
      </c>
      <c r="S31" s="36"/>
      <c r="T31" s="8" t="s">
        <v>52</v>
      </c>
      <c r="U31" s="36"/>
      <c r="V31" s="23" t="s">
        <v>55</v>
      </c>
      <c r="W31" s="36"/>
      <c r="X31" s="23" t="s">
        <v>56</v>
      </c>
    </row>
    <row r="32" spans="1:37" ht="18.75" x14ac:dyDescent="0.3">
      <c r="A32" s="11"/>
      <c r="B32" s="8"/>
      <c r="C32" s="8"/>
      <c r="D32" s="9"/>
      <c r="E32" s="5"/>
      <c r="F32" s="5"/>
      <c r="G32" s="8"/>
      <c r="I32" s="5"/>
      <c r="J32" s="27"/>
      <c r="L32" s="11" t="s">
        <v>40</v>
      </c>
      <c r="M32" s="91">
        <f>2.43+T14</f>
        <v>5.43</v>
      </c>
      <c r="N32" s="91"/>
      <c r="O32" s="8" t="s">
        <v>53</v>
      </c>
      <c r="P32" s="9" t="s">
        <v>24</v>
      </c>
      <c r="Q32" s="36"/>
      <c r="R32" s="8" t="s">
        <v>51</v>
      </c>
      <c r="S32" s="36"/>
      <c r="T32" s="8" t="s">
        <v>52</v>
      </c>
      <c r="U32" s="36"/>
      <c r="V32" s="23" t="s">
        <v>55</v>
      </c>
      <c r="W32" s="36"/>
      <c r="X32" s="23" t="s">
        <v>56</v>
      </c>
    </row>
    <row r="33" spans="1:29" ht="18.75" x14ac:dyDescent="0.3">
      <c r="A33" s="11"/>
      <c r="B33" s="8"/>
      <c r="C33" s="8"/>
      <c r="D33" s="9"/>
      <c r="E33" s="5"/>
      <c r="F33" s="5"/>
      <c r="G33" s="8"/>
      <c r="I33" s="5"/>
      <c r="J33" s="27"/>
      <c r="L33" s="11" t="s">
        <v>41</v>
      </c>
      <c r="M33" s="91">
        <f>82.9+T14</f>
        <v>85.9</v>
      </c>
      <c r="N33" s="91"/>
      <c r="O33" s="23" t="s">
        <v>55</v>
      </c>
      <c r="P33" s="9" t="s">
        <v>24</v>
      </c>
      <c r="Q33" s="36"/>
      <c r="R33" s="8" t="s">
        <v>51</v>
      </c>
      <c r="S33" s="36"/>
      <c r="T33" s="8" t="s">
        <v>52</v>
      </c>
      <c r="U33" s="36"/>
      <c r="V33" s="23" t="s">
        <v>55</v>
      </c>
      <c r="W33" s="36"/>
      <c r="X33" s="23" t="s">
        <v>56</v>
      </c>
    </row>
    <row r="34" spans="1:29" ht="18.75" x14ac:dyDescent="0.3">
      <c r="A34" s="11"/>
      <c r="B34" s="8"/>
      <c r="C34" s="8"/>
      <c r="D34" s="8"/>
      <c r="E34" s="8"/>
      <c r="F34" s="8"/>
      <c r="G34" s="5"/>
      <c r="H34" s="5"/>
      <c r="I34" s="5"/>
      <c r="J34" s="5"/>
      <c r="L34" s="5"/>
      <c r="M34" s="93" t="s">
        <v>44</v>
      </c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42"/>
      <c r="Y34" s="42"/>
      <c r="Z34" s="42"/>
      <c r="AA34" s="42"/>
      <c r="AB34" s="42"/>
      <c r="AC34" s="42"/>
    </row>
    <row r="35" spans="1:29" ht="15.75" x14ac:dyDescent="0.25">
      <c r="A35" s="5"/>
      <c r="B35" s="5"/>
      <c r="C35" s="5"/>
      <c r="D35" s="5"/>
      <c r="E35" s="5"/>
      <c r="F35" s="5"/>
      <c r="G35" s="5"/>
      <c r="I35" s="5"/>
      <c r="J35" s="5"/>
      <c r="L35" s="5"/>
      <c r="M35" s="5"/>
      <c r="N35" s="32"/>
      <c r="O35" s="32"/>
    </row>
    <row r="36" spans="1:29" ht="18.75" x14ac:dyDescent="0.3">
      <c r="A36" s="10"/>
      <c r="B36" s="4"/>
      <c r="C36" s="4"/>
      <c r="D36" s="4"/>
      <c r="E36" s="4"/>
      <c r="F36" s="5"/>
      <c r="G36" s="5"/>
      <c r="H36" s="5"/>
      <c r="I36" s="5"/>
      <c r="J36" s="5"/>
      <c r="L36" s="5"/>
      <c r="M36" s="5"/>
      <c r="N36" s="5"/>
    </row>
    <row r="37" spans="1:29" ht="18.75" x14ac:dyDescent="0.3">
      <c r="A37" s="10"/>
      <c r="B37" s="5"/>
      <c r="C37" s="5"/>
      <c r="D37" s="5"/>
      <c r="E37" s="5"/>
      <c r="F37" s="5"/>
      <c r="G37" s="5"/>
      <c r="H37" s="5"/>
      <c r="I37" s="5"/>
      <c r="J37" s="5"/>
      <c r="L37" s="5"/>
      <c r="M37" s="5"/>
      <c r="N37" s="5"/>
    </row>
    <row r="38" spans="1:29" ht="15.75" x14ac:dyDescent="0.25">
      <c r="B38" s="5"/>
      <c r="C38" s="5"/>
      <c r="D38" s="5"/>
      <c r="E38" s="5"/>
      <c r="F38" s="5"/>
      <c r="G38" s="5"/>
      <c r="H38" s="5"/>
      <c r="I38" s="5"/>
      <c r="J38" s="5"/>
      <c r="L38" s="5"/>
      <c r="M38" s="5"/>
      <c r="N38" s="5"/>
    </row>
    <row r="39" spans="1:29" ht="18.75" x14ac:dyDescent="0.3">
      <c r="A39" s="11"/>
    </row>
    <row r="40" spans="1:29" ht="18.75" x14ac:dyDescent="0.3">
      <c r="A40" s="11"/>
    </row>
    <row r="41" spans="1:29" ht="18.75" x14ac:dyDescent="0.3">
      <c r="A41" s="11"/>
      <c r="P41" s="5"/>
      <c r="Q41" s="5"/>
      <c r="R41" s="5"/>
      <c r="S41" s="5"/>
    </row>
    <row r="42" spans="1:29" ht="18.75" x14ac:dyDescent="0.3">
      <c r="A42" s="11"/>
      <c r="P42" s="5"/>
      <c r="Q42" s="5"/>
      <c r="R42" s="5"/>
      <c r="S42" s="5"/>
    </row>
    <row r="43" spans="1:29" ht="18.75" x14ac:dyDescent="0.3">
      <c r="A43" s="11"/>
      <c r="P43" s="5"/>
      <c r="Q43" s="5"/>
      <c r="R43" s="5"/>
      <c r="S43" s="5"/>
    </row>
    <row r="44" spans="1:29" ht="18.75" x14ac:dyDescent="0.3">
      <c r="A44" s="11"/>
      <c r="P44" s="5"/>
      <c r="Q44" s="5"/>
      <c r="R44" s="5"/>
      <c r="S44" s="5"/>
    </row>
    <row r="45" spans="1:29" ht="18.75" x14ac:dyDescent="0.3">
      <c r="A45" s="11"/>
      <c r="P45" s="5"/>
      <c r="Q45" s="5"/>
      <c r="R45" s="5"/>
      <c r="S45" s="5"/>
    </row>
    <row r="46" spans="1:29" ht="18.75" x14ac:dyDescent="0.3">
      <c r="A46" s="11"/>
      <c r="P46" s="5"/>
      <c r="Q46" s="5"/>
      <c r="R46" s="5"/>
      <c r="S46" s="5"/>
    </row>
    <row r="47" spans="1:29" ht="15.75" x14ac:dyDescent="0.25">
      <c r="P47" s="5"/>
      <c r="Q47" s="5"/>
      <c r="R47" s="5"/>
      <c r="S47" s="5"/>
    </row>
    <row r="48" spans="1:29" ht="15.75" x14ac:dyDescent="0.25">
      <c r="P48" s="5"/>
      <c r="Q48" s="5"/>
      <c r="R48" s="5"/>
      <c r="S48" s="5"/>
    </row>
    <row r="49" spans="1:19" ht="18.75" x14ac:dyDescent="0.3">
      <c r="A49" s="14"/>
      <c r="B49" s="5"/>
      <c r="C49" s="5"/>
      <c r="E49" s="5"/>
      <c r="G49" s="5"/>
      <c r="J49" s="5"/>
      <c r="L49" s="5"/>
      <c r="M49" s="5"/>
      <c r="O49" s="5"/>
      <c r="P49" s="5"/>
      <c r="Q49" s="5"/>
      <c r="R49" s="5"/>
      <c r="S49" s="5"/>
    </row>
    <row r="50" spans="1:19" ht="18.75" x14ac:dyDescent="0.3">
      <c r="A50" s="11"/>
      <c r="B50" s="5"/>
      <c r="C50" s="5"/>
      <c r="E50" s="5"/>
      <c r="G50" s="5"/>
      <c r="J50" s="5"/>
      <c r="L50" s="5"/>
      <c r="M50" s="5"/>
      <c r="O50" s="5"/>
      <c r="P50" s="5"/>
      <c r="Q50" s="5"/>
      <c r="R50" s="5"/>
      <c r="S50" s="5"/>
    </row>
    <row r="51" spans="1:19" ht="18.75" x14ac:dyDescent="0.3">
      <c r="A51" s="11"/>
      <c r="B51" s="5"/>
      <c r="C51" s="5"/>
      <c r="E51" s="5"/>
      <c r="G51" s="5"/>
      <c r="J51" s="5"/>
      <c r="L51" s="5"/>
      <c r="M51" s="5"/>
      <c r="O51" s="5"/>
      <c r="P51" s="5"/>
      <c r="Q51" s="5"/>
      <c r="R51" s="5"/>
      <c r="S51" s="5"/>
    </row>
    <row r="52" spans="1:19" ht="18.75" x14ac:dyDescent="0.3">
      <c r="A52" s="11"/>
      <c r="B52" s="5"/>
      <c r="C52" s="5"/>
      <c r="E52" s="5"/>
      <c r="G52" s="5"/>
      <c r="J52" s="5"/>
      <c r="L52" s="5"/>
      <c r="M52" s="5"/>
      <c r="O52" s="5"/>
      <c r="P52" s="5"/>
      <c r="Q52" s="5"/>
      <c r="R52" s="5"/>
      <c r="S52" s="5"/>
    </row>
    <row r="53" spans="1:19" ht="18.75" x14ac:dyDescent="0.3">
      <c r="A53" s="11"/>
      <c r="B53" s="5"/>
      <c r="C53" s="5"/>
      <c r="E53" s="5"/>
      <c r="G53" s="5"/>
      <c r="J53" s="5"/>
      <c r="L53" s="5"/>
      <c r="M53" s="5"/>
      <c r="O53" s="5"/>
      <c r="P53" s="5"/>
      <c r="Q53" s="5"/>
      <c r="R53" s="5"/>
      <c r="S53" s="5"/>
    </row>
    <row r="54" spans="1:19" ht="18.75" x14ac:dyDescent="0.3">
      <c r="A54" s="11"/>
      <c r="B54" s="5"/>
      <c r="C54" s="5"/>
      <c r="E54" s="5"/>
      <c r="G54" s="5"/>
      <c r="J54" s="5"/>
      <c r="L54" s="5"/>
      <c r="M54" s="5"/>
      <c r="O54" s="5"/>
      <c r="P54" s="5"/>
      <c r="Q54" s="5"/>
      <c r="R54" s="5"/>
      <c r="S54" s="5"/>
    </row>
    <row r="55" spans="1:19" ht="18.75" x14ac:dyDescent="0.3">
      <c r="A55" s="11"/>
      <c r="B55" s="5"/>
      <c r="C55" s="5"/>
      <c r="E55" s="5"/>
      <c r="G55" s="5"/>
      <c r="J55" s="5"/>
      <c r="L55" s="5"/>
      <c r="M55" s="5"/>
      <c r="O55" s="5"/>
      <c r="P55" s="5"/>
      <c r="Q55" s="5"/>
      <c r="R55" s="5"/>
      <c r="S55" s="5"/>
    </row>
    <row r="56" spans="1:19" ht="18.75" x14ac:dyDescent="0.3">
      <c r="A56" s="11"/>
      <c r="B56" s="5"/>
      <c r="C56" s="5"/>
      <c r="E56" s="5"/>
      <c r="G56" s="5"/>
      <c r="J56" s="5"/>
      <c r="L56" s="5"/>
      <c r="M56" s="5"/>
      <c r="O56" s="5"/>
      <c r="P56" s="5"/>
      <c r="Q56" s="5"/>
      <c r="R56" s="5"/>
      <c r="S56" s="5"/>
    </row>
    <row r="57" spans="1:19" ht="15.75" x14ac:dyDescent="0.25">
      <c r="A57" s="5"/>
      <c r="B57" s="5"/>
      <c r="C57" s="5"/>
      <c r="D57" s="5"/>
      <c r="E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</row>
    <row r="58" spans="1:19" ht="18.75" x14ac:dyDescent="0.3">
      <c r="A58" s="10"/>
      <c r="B58" s="4"/>
      <c r="C58" s="4"/>
      <c r="D58" s="4"/>
      <c r="E58" s="4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</row>
    <row r="59" spans="1:19" ht="15.75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</row>
    <row r="60" spans="1:19" ht="18.75" x14ac:dyDescent="0.3">
      <c r="A60" s="11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</row>
    <row r="61" spans="1:19" ht="18.75" x14ac:dyDescent="0.3">
      <c r="A61" s="11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spans="1:19" ht="18.75" x14ac:dyDescent="0.3">
      <c r="A62" s="11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spans="1:19" ht="18.75" x14ac:dyDescent="0.3">
      <c r="A63" s="11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1:19" ht="18.75" x14ac:dyDescent="0.3">
      <c r="A64" s="11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pans="1:19" ht="18.75" x14ac:dyDescent="0.3">
      <c r="A65" s="11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1:19" ht="18.75" x14ac:dyDescent="0.3">
      <c r="A66" s="11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spans="1:19" ht="18.75" x14ac:dyDescent="0.3">
      <c r="A67" s="11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1:19" ht="18.75" x14ac:dyDescent="0.3">
      <c r="A68" s="11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1:19" ht="18.75" x14ac:dyDescent="0.3">
      <c r="A69" s="11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spans="1:19" ht="18.75" x14ac:dyDescent="0.3">
      <c r="A70" s="11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1:19" ht="18.75" x14ac:dyDescent="0.3">
      <c r="A71" s="11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pans="1:19" ht="18.75" x14ac:dyDescent="0.3">
      <c r="A72" s="11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19" ht="18.75" x14ac:dyDescent="0.3">
      <c r="A73" s="11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1:19" ht="18.75" x14ac:dyDescent="0.3">
      <c r="A74" s="11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19" ht="18.75" x14ac:dyDescent="0.3">
      <c r="A75" s="11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pans="1:19" ht="18.75" x14ac:dyDescent="0.3">
      <c r="A76" s="11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1:19" ht="18.75" x14ac:dyDescent="0.3">
      <c r="A77" s="11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</sheetData>
  <sheetProtection password="C7EC" sheet="1" objects="1" scenarios="1"/>
  <mergeCells count="31">
    <mergeCell ref="M32:N32"/>
    <mergeCell ref="M33:N33"/>
    <mergeCell ref="M34:W34"/>
    <mergeCell ref="E29:F29"/>
    <mergeCell ref="M29:N29"/>
    <mergeCell ref="E30:F30"/>
    <mergeCell ref="M30:N30"/>
    <mergeCell ref="E31:F31"/>
    <mergeCell ref="M31:N31"/>
    <mergeCell ref="M26:N26"/>
    <mergeCell ref="E27:F27"/>
    <mergeCell ref="M27:N27"/>
    <mergeCell ref="E28:F28"/>
    <mergeCell ref="M28:N28"/>
    <mergeCell ref="E19:F19"/>
    <mergeCell ref="E20:F20"/>
    <mergeCell ref="E21:F21"/>
    <mergeCell ref="E22:F22"/>
    <mergeCell ref="E26:F26"/>
    <mergeCell ref="A14:F14"/>
    <mergeCell ref="L14:S14"/>
    <mergeCell ref="E16:F16"/>
    <mergeCell ref="E17:F17"/>
    <mergeCell ref="E18:F18"/>
    <mergeCell ref="T10:U10"/>
    <mergeCell ref="A1:X2"/>
    <mergeCell ref="P8:Q8"/>
    <mergeCell ref="T8:U8"/>
    <mergeCell ref="P9:Q9"/>
    <mergeCell ref="T9:U9"/>
    <mergeCell ref="B4:G4"/>
  </mergeCells>
  <conditionalFormatting sqref="I16:I22 I26:I31">
    <cfRule type="containsText" dxfId="41" priority="4" operator="containsText" text="falsch">
      <formula>NOT(ISERROR(SEARCH("falsch",I16)))</formula>
    </cfRule>
    <cfRule type="containsText" dxfId="40" priority="5" operator="containsText" text="richtig">
      <formula>NOT(ISERROR(SEARCH("richtig",I16)))</formula>
    </cfRule>
    <cfRule type="containsText" dxfId="39" priority="6" operator="containsText" text="x">
      <formula>NOT(ISERROR(SEARCH("x",I16)))</formula>
    </cfRule>
  </conditionalFormatting>
  <conditionalFormatting sqref="X16:X23">
    <cfRule type="containsText" dxfId="38" priority="1" operator="containsText" text="falsch">
      <formula>NOT(ISERROR(SEARCH("falsch",X16)))</formula>
    </cfRule>
    <cfRule type="containsText" dxfId="37" priority="2" operator="containsText" text="richtig">
      <formula>NOT(ISERROR(SEARCH("richtig",X16)))</formula>
    </cfRule>
    <cfRule type="containsText" dxfId="36" priority="3" operator="containsText" text="x">
      <formula>NOT(ISERROR(SEARCH("x",X16)))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8"/>
  <sheetViews>
    <sheetView workbookViewId="0">
      <selection activeCell="W24" sqref="W24"/>
    </sheetView>
  </sheetViews>
  <sheetFormatPr baseColWidth="10" defaultRowHeight="15" x14ac:dyDescent="0.25"/>
  <cols>
    <col min="1" max="1" width="5.140625" customWidth="1"/>
    <col min="2" max="2" width="10.140625" bestFit="1" customWidth="1"/>
    <col min="3" max="3" width="5.140625" customWidth="1"/>
    <col min="4" max="4" width="5.5703125" customWidth="1"/>
    <col min="5" max="5" width="8.42578125" customWidth="1"/>
    <col min="6" max="6" width="6.85546875" customWidth="1"/>
    <col min="7" max="7" width="7" customWidth="1"/>
    <col min="8" max="8" width="6.140625" customWidth="1"/>
    <col min="9" max="9" width="9.28515625" customWidth="1"/>
    <col min="10" max="10" width="5.85546875" customWidth="1"/>
    <col min="11" max="11" width="7.5703125" customWidth="1"/>
    <col min="12" max="12" width="6" customWidth="1"/>
    <col min="13" max="13" width="6.7109375" customWidth="1"/>
    <col min="14" max="14" width="6" customWidth="1"/>
    <col min="15" max="16" width="6.140625" customWidth="1"/>
    <col min="17" max="17" width="6.7109375" customWidth="1"/>
    <col min="18" max="19" width="7.42578125" customWidth="1"/>
    <col min="20" max="20" width="10.7109375" bestFit="1" customWidth="1"/>
    <col min="21" max="21" width="7.140625" customWidth="1"/>
    <col min="22" max="22" width="10" bestFit="1" customWidth="1"/>
    <col min="23" max="23" width="11.28515625" bestFit="1" customWidth="1"/>
    <col min="24" max="24" width="6.85546875" customWidth="1"/>
    <col min="25" max="25" width="7.140625" customWidth="1"/>
    <col min="26" max="28" width="5.28515625" customWidth="1"/>
    <col min="29" max="29" width="5.7109375" customWidth="1"/>
    <col min="30" max="32" width="10.7109375" customWidth="1"/>
    <col min="33" max="33" width="8.42578125" customWidth="1"/>
    <col min="34" max="34" width="11.42578125" customWidth="1"/>
  </cols>
  <sheetData>
    <row r="1" spans="1:33" ht="23.25" customHeight="1" x14ac:dyDescent="0.25">
      <c r="A1" s="86" t="s">
        <v>50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46"/>
      <c r="AA1" s="46"/>
      <c r="AB1" s="46"/>
      <c r="AC1" s="46"/>
      <c r="AD1" s="46"/>
      <c r="AE1" s="46"/>
      <c r="AF1" s="46"/>
      <c r="AG1" s="46"/>
    </row>
    <row r="2" spans="1:33" ht="15" customHeigh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46"/>
      <c r="AA2" s="46"/>
      <c r="AB2" s="46"/>
      <c r="AC2" s="46"/>
      <c r="AD2" s="46"/>
      <c r="AE2" s="46"/>
      <c r="AF2" s="46"/>
      <c r="AG2" s="46"/>
    </row>
    <row r="3" spans="1:33" ht="18.75" x14ac:dyDescent="0.3">
      <c r="A3" s="10" t="s">
        <v>7</v>
      </c>
      <c r="B3" s="4"/>
      <c r="C3" s="4"/>
      <c r="D3" s="4"/>
      <c r="E3" s="4"/>
      <c r="F3" s="4"/>
      <c r="G3" s="5"/>
    </row>
    <row r="4" spans="1:33" ht="15.75" x14ac:dyDescent="0.25">
      <c r="A4" s="5"/>
      <c r="B4" s="87" t="s">
        <v>42</v>
      </c>
      <c r="C4" s="87"/>
      <c r="D4" s="87"/>
      <c r="E4" s="87"/>
      <c r="F4" s="87"/>
      <c r="G4" s="87"/>
    </row>
    <row r="5" spans="1:33" ht="15.75" x14ac:dyDescent="0.25">
      <c r="A5" s="5"/>
      <c r="B5" s="26"/>
      <c r="C5" s="26"/>
      <c r="D5" s="26"/>
      <c r="E5" s="26"/>
      <c r="F5" s="26"/>
      <c r="G5" s="26"/>
    </row>
    <row r="6" spans="1:33" s="2" customFormat="1" ht="21" x14ac:dyDescent="0.3">
      <c r="A6" s="12" t="s">
        <v>46</v>
      </c>
      <c r="B6" s="6"/>
      <c r="C6" s="12" t="s">
        <v>47</v>
      </c>
      <c r="D6" s="6"/>
      <c r="E6" s="12" t="s">
        <v>48</v>
      </c>
      <c r="F6" s="6"/>
      <c r="G6" s="12" t="s">
        <v>49</v>
      </c>
    </row>
    <row r="7" spans="1:33" ht="15.75" customHeight="1" x14ac:dyDescent="0.25">
      <c r="A7" s="1"/>
      <c r="B7" s="1"/>
      <c r="C7" s="5"/>
      <c r="D7" s="1"/>
      <c r="E7" s="5"/>
      <c r="F7" s="1"/>
      <c r="G7" s="1"/>
      <c r="O7" s="5"/>
    </row>
    <row r="8" spans="1:33" ht="15.75" x14ac:dyDescent="0.25">
      <c r="A8" s="5"/>
      <c r="B8" s="52">
        <v>100</v>
      </c>
      <c r="C8" s="5"/>
      <c r="D8" s="52">
        <v>100</v>
      </c>
      <c r="E8" s="5"/>
      <c r="F8" s="52">
        <v>100</v>
      </c>
      <c r="G8" s="5"/>
      <c r="O8" s="5"/>
    </row>
    <row r="9" spans="1:33" ht="18" x14ac:dyDescent="0.25">
      <c r="A9" s="5"/>
      <c r="B9" s="5"/>
      <c r="C9" s="5"/>
      <c r="D9" s="5"/>
      <c r="E9" s="5"/>
      <c r="F9" s="5"/>
      <c r="G9" s="5"/>
      <c r="H9" s="5"/>
      <c r="I9" s="25" t="s">
        <v>66</v>
      </c>
      <c r="J9" s="9" t="s">
        <v>24</v>
      </c>
      <c r="K9" s="52">
        <v>100</v>
      </c>
      <c r="L9" s="25" t="s">
        <v>52</v>
      </c>
      <c r="M9" s="9" t="s">
        <v>24</v>
      </c>
      <c r="N9" s="96">
        <v>10000</v>
      </c>
      <c r="O9" s="96"/>
      <c r="P9" s="23" t="s">
        <v>55</v>
      </c>
      <c r="Q9" s="9" t="s">
        <v>24</v>
      </c>
      <c r="R9" s="96">
        <v>1000000</v>
      </c>
      <c r="S9" s="96"/>
      <c r="T9" s="23" t="s">
        <v>56</v>
      </c>
    </row>
    <row r="10" spans="1:33" ht="18" x14ac:dyDescent="0.25">
      <c r="A10" s="5"/>
      <c r="B10" s="5"/>
      <c r="C10" s="5"/>
      <c r="D10" s="5"/>
      <c r="E10" s="5"/>
      <c r="F10" s="5"/>
      <c r="G10" s="5"/>
      <c r="H10" s="5"/>
      <c r="I10" s="25"/>
      <c r="J10" s="25"/>
      <c r="K10" s="25"/>
      <c r="L10" s="25" t="s">
        <v>67</v>
      </c>
      <c r="M10" s="9" t="s">
        <v>24</v>
      </c>
      <c r="N10" s="96">
        <v>100</v>
      </c>
      <c r="O10" s="96"/>
      <c r="P10" s="23" t="s">
        <v>55</v>
      </c>
      <c r="Q10" s="9" t="s">
        <v>24</v>
      </c>
      <c r="R10" s="96">
        <v>10000</v>
      </c>
      <c r="S10" s="96"/>
      <c r="T10" s="23" t="s">
        <v>56</v>
      </c>
    </row>
    <row r="11" spans="1:33" ht="17.25" x14ac:dyDescent="0.25">
      <c r="F11" s="5"/>
      <c r="G11" s="5"/>
      <c r="H11" s="5"/>
      <c r="I11" s="5"/>
      <c r="J11" s="5"/>
      <c r="K11" s="5"/>
      <c r="L11" s="5"/>
      <c r="M11" s="5"/>
      <c r="N11" s="5"/>
      <c r="O11" s="5"/>
      <c r="P11" s="23" t="s">
        <v>68</v>
      </c>
      <c r="Q11" s="9" t="s">
        <v>24</v>
      </c>
      <c r="R11" s="96">
        <v>100</v>
      </c>
      <c r="S11" s="96"/>
      <c r="T11" s="23" t="s">
        <v>56</v>
      </c>
    </row>
    <row r="12" spans="1:33" ht="15.75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33" ht="18.75" x14ac:dyDescent="0.3">
      <c r="A13" s="10" t="s">
        <v>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33" ht="15.75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33" ht="15.75" x14ac:dyDescent="0.25">
      <c r="A15" s="88" t="s">
        <v>23</v>
      </c>
      <c r="B15" s="88"/>
      <c r="C15" s="88"/>
      <c r="D15" s="88"/>
      <c r="E15" s="88"/>
      <c r="F15" s="88"/>
      <c r="G15" s="34">
        <v>67</v>
      </c>
      <c r="H15" s="27"/>
      <c r="I15" s="5"/>
      <c r="J15" s="88" t="s">
        <v>43</v>
      </c>
      <c r="K15" s="88"/>
      <c r="L15" s="88"/>
      <c r="M15" s="88"/>
      <c r="N15" s="88"/>
      <c r="O15" s="88"/>
      <c r="P15" s="88"/>
      <c r="Q15" s="88"/>
      <c r="R15" s="34">
        <v>3</v>
      </c>
    </row>
    <row r="16" spans="1:33" ht="15.75" x14ac:dyDescent="0.25">
      <c r="A16" s="5"/>
      <c r="B16" s="5"/>
      <c r="C16" s="5"/>
      <c r="D16" s="5"/>
      <c r="E16" s="5"/>
      <c r="F16" s="5"/>
      <c r="G16" s="5"/>
      <c r="H16" s="27"/>
      <c r="I16" s="5"/>
      <c r="J16" s="5"/>
      <c r="K16" s="5"/>
      <c r="L16" s="5"/>
      <c r="M16" s="5"/>
      <c r="N16" s="5"/>
      <c r="O16" s="5"/>
      <c r="P16" s="5"/>
      <c r="Q16" s="5"/>
      <c r="R16" s="3"/>
      <c r="S16" s="3"/>
      <c r="W16" s="39"/>
    </row>
    <row r="17" spans="1:35" ht="18.75" x14ac:dyDescent="0.3">
      <c r="A17" s="11" t="s">
        <v>8</v>
      </c>
      <c r="B17" s="8">
        <f>$G$15+7.57</f>
        <v>74.569999999999993</v>
      </c>
      <c r="C17" s="8" t="s">
        <v>51</v>
      </c>
      <c r="D17" s="9" t="s">
        <v>24</v>
      </c>
      <c r="E17" s="97">
        <f>B17*100</f>
        <v>7456.9999999999991</v>
      </c>
      <c r="F17" s="97"/>
      <c r="G17" s="8" t="s">
        <v>52</v>
      </c>
      <c r="H17" s="27"/>
      <c r="J17" s="11" t="s">
        <v>26</v>
      </c>
      <c r="K17" s="23">
        <v>0</v>
      </c>
      <c r="L17" s="8" t="s">
        <v>51</v>
      </c>
      <c r="M17" s="23">
        <f>2+R15</f>
        <v>5</v>
      </c>
      <c r="N17" s="8" t="s">
        <v>52</v>
      </c>
      <c r="O17" s="23">
        <v>78</v>
      </c>
      <c r="P17" s="23" t="s">
        <v>55</v>
      </c>
      <c r="Q17" s="23">
        <v>35</v>
      </c>
      <c r="R17" s="23" t="s">
        <v>56</v>
      </c>
      <c r="S17" s="24" t="s">
        <v>24</v>
      </c>
      <c r="T17" s="64">
        <f>M17+O17/100+Q17/10000</f>
        <v>5.7835000000000001</v>
      </c>
      <c r="U17" s="8" t="s">
        <v>52</v>
      </c>
      <c r="X17" s="23"/>
      <c r="AA17" s="23"/>
      <c r="AB17" s="23"/>
    </row>
    <row r="18" spans="1:35" ht="18.75" x14ac:dyDescent="0.3">
      <c r="A18" s="11" t="s">
        <v>9</v>
      </c>
      <c r="B18" s="8">
        <f>$G$15+87.83</f>
        <v>154.82999999999998</v>
      </c>
      <c r="C18" s="8" t="s">
        <v>52</v>
      </c>
      <c r="D18" s="9" t="s">
        <v>24</v>
      </c>
      <c r="E18" s="98">
        <f>B18*10000</f>
        <v>1548299.9999999998</v>
      </c>
      <c r="F18" s="98"/>
      <c r="G18" s="8" t="s">
        <v>53</v>
      </c>
      <c r="H18" s="27"/>
      <c r="J18" s="11" t="s">
        <v>27</v>
      </c>
      <c r="K18" s="8">
        <v>2</v>
      </c>
      <c r="L18" s="8" t="s">
        <v>51</v>
      </c>
      <c r="M18" s="8">
        <v>9</v>
      </c>
      <c r="N18" s="8" t="s">
        <v>52</v>
      </c>
      <c r="O18" s="23">
        <f>11+R15</f>
        <v>14</v>
      </c>
      <c r="P18" s="23" t="s">
        <v>55</v>
      </c>
      <c r="Q18" s="23">
        <v>26</v>
      </c>
      <c r="R18" s="23" t="s">
        <v>56</v>
      </c>
      <c r="S18" s="24" t="s">
        <v>24</v>
      </c>
      <c r="T18" s="65">
        <f>K18+M18/100+O18/10000+Q18/1000000</f>
        <v>2.0914259999999998</v>
      </c>
      <c r="U18" s="8" t="s">
        <v>51</v>
      </c>
      <c r="X18" s="23"/>
      <c r="AA18" s="23"/>
      <c r="AB18" s="23"/>
    </row>
    <row r="19" spans="1:35" ht="18.75" x14ac:dyDescent="0.3">
      <c r="A19" s="11" t="s">
        <v>10</v>
      </c>
      <c r="B19" s="8">
        <f>$G$15+36.4</f>
        <v>103.4</v>
      </c>
      <c r="C19" s="8" t="s">
        <v>54</v>
      </c>
      <c r="D19" s="9" t="s">
        <v>24</v>
      </c>
      <c r="E19" s="98">
        <f>B19*100</f>
        <v>10340</v>
      </c>
      <c r="F19" s="98"/>
      <c r="G19" s="8" t="s">
        <v>53</v>
      </c>
      <c r="H19" s="27"/>
      <c r="J19" s="11" t="s">
        <v>28</v>
      </c>
      <c r="K19" s="8">
        <v>2</v>
      </c>
      <c r="L19" s="8" t="s">
        <v>51</v>
      </c>
      <c r="M19" s="8">
        <v>17</v>
      </c>
      <c r="N19" s="8" t="s">
        <v>52</v>
      </c>
      <c r="O19" s="23">
        <f>1+R15</f>
        <v>4</v>
      </c>
      <c r="P19" s="23" t="s">
        <v>55</v>
      </c>
      <c r="Q19" s="23">
        <v>9</v>
      </c>
      <c r="R19" s="23" t="s">
        <v>56</v>
      </c>
      <c r="S19" s="24" t="s">
        <v>24</v>
      </c>
      <c r="T19" s="62">
        <f>K19*10000+M19*100+O19+Q19/100</f>
        <v>21704.09</v>
      </c>
      <c r="U19" s="23" t="s">
        <v>55</v>
      </c>
      <c r="X19" s="23"/>
      <c r="AA19" s="23"/>
      <c r="AB19" s="23"/>
    </row>
    <row r="20" spans="1:35" ht="18.75" x14ac:dyDescent="0.3">
      <c r="A20" s="11" t="s">
        <v>11</v>
      </c>
      <c r="B20" s="8">
        <f>$G$15+6.95</f>
        <v>73.95</v>
      </c>
      <c r="C20" s="8" t="s">
        <v>51</v>
      </c>
      <c r="D20" s="9" t="s">
        <v>24</v>
      </c>
      <c r="E20" s="98">
        <f>B20*100</f>
        <v>7395</v>
      </c>
      <c r="F20" s="98"/>
      <c r="G20" s="8" t="s">
        <v>52</v>
      </c>
      <c r="H20" s="27"/>
      <c r="I20" s="8"/>
      <c r="J20" s="11" t="s">
        <v>29</v>
      </c>
      <c r="K20" s="8">
        <v>0</v>
      </c>
      <c r="L20" s="8" t="s">
        <v>51</v>
      </c>
      <c r="M20" s="8">
        <v>3</v>
      </c>
      <c r="N20" s="8" t="s">
        <v>52</v>
      </c>
      <c r="O20" s="23">
        <v>50</v>
      </c>
      <c r="P20" s="23" t="s">
        <v>55</v>
      </c>
      <c r="Q20" s="23">
        <f>2+R15</f>
        <v>5</v>
      </c>
      <c r="R20" s="23" t="s">
        <v>56</v>
      </c>
      <c r="S20" s="24" t="s">
        <v>24</v>
      </c>
      <c r="T20" s="62">
        <f>M20*10000+O20*100+Q20</f>
        <v>35005</v>
      </c>
      <c r="U20" s="23" t="s">
        <v>56</v>
      </c>
      <c r="X20" s="23"/>
      <c r="AA20" s="23"/>
      <c r="AB20" s="23"/>
    </row>
    <row r="21" spans="1:35" ht="18.75" x14ac:dyDescent="0.3">
      <c r="A21" s="11" t="s">
        <v>12</v>
      </c>
      <c r="B21" s="8">
        <f>$G$15+3.4279</f>
        <v>70.427899999999994</v>
      </c>
      <c r="C21" s="8" t="s">
        <v>51</v>
      </c>
      <c r="D21" s="9" t="s">
        <v>24</v>
      </c>
      <c r="E21" s="98">
        <f>B21*10000</f>
        <v>704278.99999999988</v>
      </c>
      <c r="F21" s="98"/>
      <c r="G21" s="8" t="s">
        <v>54</v>
      </c>
      <c r="H21" s="27"/>
      <c r="J21" s="11" t="s">
        <v>30</v>
      </c>
      <c r="K21" s="8">
        <v>87</v>
      </c>
      <c r="L21" s="8" t="s">
        <v>51</v>
      </c>
      <c r="M21" s="8">
        <v>9</v>
      </c>
      <c r="N21" s="8" t="s">
        <v>52</v>
      </c>
      <c r="O21" s="23">
        <v>25</v>
      </c>
      <c r="P21" s="23" t="s">
        <v>55</v>
      </c>
      <c r="Q21" s="23">
        <v>73</v>
      </c>
      <c r="R21" s="23" t="s">
        <v>56</v>
      </c>
      <c r="S21" s="24" t="s">
        <v>24</v>
      </c>
      <c r="T21" s="64">
        <f>K21*100+M21+O21/100+Q21/10000</f>
        <v>8709.2572999999993</v>
      </c>
      <c r="U21" s="8" t="s">
        <v>52</v>
      </c>
      <c r="X21" s="23"/>
      <c r="AA21" s="23"/>
      <c r="AB21" s="23"/>
    </row>
    <row r="22" spans="1:35" ht="18.75" x14ac:dyDescent="0.3">
      <c r="A22" s="11" t="s">
        <v>13</v>
      </c>
      <c r="B22" s="8">
        <f>$G$15+436</f>
        <v>503</v>
      </c>
      <c r="C22" s="8" t="s">
        <v>52</v>
      </c>
      <c r="D22" s="9" t="s">
        <v>24</v>
      </c>
      <c r="E22" s="98">
        <f>B22*100</f>
        <v>50300</v>
      </c>
      <c r="F22" s="98"/>
      <c r="G22" s="8" t="s">
        <v>54</v>
      </c>
      <c r="H22" s="27"/>
      <c r="J22" s="11" t="s">
        <v>31</v>
      </c>
      <c r="K22" s="8">
        <v>0</v>
      </c>
      <c r="L22" s="8" t="s">
        <v>51</v>
      </c>
      <c r="M22" s="8">
        <v>0</v>
      </c>
      <c r="N22" s="8" t="s">
        <v>52</v>
      </c>
      <c r="O22">
        <f>44+R15</f>
        <v>47</v>
      </c>
      <c r="P22" s="23" t="s">
        <v>55</v>
      </c>
      <c r="Q22" s="23">
        <v>18</v>
      </c>
      <c r="R22" s="23" t="s">
        <v>56</v>
      </c>
      <c r="S22" s="24" t="s">
        <v>24</v>
      </c>
      <c r="T22" s="62">
        <f>O22+Q22/100</f>
        <v>47.18</v>
      </c>
      <c r="U22" s="23" t="s">
        <v>55</v>
      </c>
      <c r="X22" s="23"/>
      <c r="AA22" s="23"/>
      <c r="AB22" s="23"/>
    </row>
    <row r="23" spans="1:35" ht="18.75" x14ac:dyDescent="0.3">
      <c r="A23" s="11" t="s">
        <v>14</v>
      </c>
      <c r="B23" s="8">
        <f>$G$15+15.243</f>
        <v>82.242999999999995</v>
      </c>
      <c r="C23" s="8" t="s">
        <v>51</v>
      </c>
      <c r="D23" s="9" t="s">
        <v>24</v>
      </c>
      <c r="E23" s="98">
        <f>B23*1000000</f>
        <v>82243000</v>
      </c>
      <c r="F23" s="98"/>
      <c r="G23" s="8" t="s">
        <v>53</v>
      </c>
      <c r="H23" s="27"/>
      <c r="J23" s="11" t="s">
        <v>32</v>
      </c>
      <c r="K23" s="8">
        <f>81+R15</f>
        <v>84</v>
      </c>
      <c r="L23" s="8" t="s">
        <v>51</v>
      </c>
      <c r="M23" s="8">
        <v>6</v>
      </c>
      <c r="N23" s="8" t="s">
        <v>52</v>
      </c>
      <c r="O23" s="23">
        <v>0</v>
      </c>
      <c r="P23" s="23" t="s">
        <v>55</v>
      </c>
      <c r="Q23" s="23">
        <v>0</v>
      </c>
      <c r="R23" s="23" t="s">
        <v>56</v>
      </c>
      <c r="S23" s="24" t="s">
        <v>24</v>
      </c>
      <c r="T23" s="62">
        <f>K23+M23/100</f>
        <v>84.06</v>
      </c>
      <c r="U23" s="8" t="s">
        <v>51</v>
      </c>
      <c r="X23" s="23"/>
      <c r="AA23" s="23"/>
      <c r="AB23" s="23"/>
    </row>
    <row r="24" spans="1:35" ht="18.75" x14ac:dyDescent="0.3">
      <c r="A24" s="11"/>
      <c r="B24" s="8"/>
      <c r="C24" s="8"/>
      <c r="D24" s="9"/>
      <c r="E24" s="5"/>
      <c r="F24" s="5"/>
      <c r="G24" s="8"/>
      <c r="H24" s="27"/>
      <c r="J24" s="11" t="s">
        <v>33</v>
      </c>
      <c r="K24" s="8">
        <v>62</v>
      </c>
      <c r="L24" s="8" t="s">
        <v>51</v>
      </c>
      <c r="M24" s="8">
        <v>0</v>
      </c>
      <c r="N24" s="8" t="s">
        <v>52</v>
      </c>
      <c r="O24" s="23">
        <f>14+R15</f>
        <v>17</v>
      </c>
      <c r="P24" s="23" t="s">
        <v>55</v>
      </c>
      <c r="Q24" s="23">
        <v>66</v>
      </c>
      <c r="R24" s="23" t="s">
        <v>56</v>
      </c>
      <c r="S24" s="24" t="s">
        <v>24</v>
      </c>
      <c r="T24" s="62">
        <f>K24*1000000+M24*10000+O24*100+Q24</f>
        <v>62001766</v>
      </c>
      <c r="U24" s="23" t="s">
        <v>56</v>
      </c>
      <c r="V24" s="41"/>
      <c r="X24" s="23"/>
      <c r="AA24" s="23"/>
      <c r="AB24" s="23"/>
    </row>
    <row r="25" spans="1:35" ht="18.75" x14ac:dyDescent="0.3">
      <c r="A25" s="16"/>
      <c r="B25" s="17"/>
      <c r="C25" s="17"/>
      <c r="D25" s="18"/>
      <c r="E25" s="17"/>
      <c r="F25" s="17"/>
      <c r="G25" s="21"/>
      <c r="H25" s="27"/>
      <c r="I25" s="14"/>
      <c r="J25" s="21"/>
      <c r="K25" s="21"/>
      <c r="L25" s="21"/>
      <c r="M25" s="21"/>
      <c r="N25" s="21"/>
      <c r="O25" s="21"/>
      <c r="P25" s="21"/>
      <c r="Q25" s="21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</row>
    <row r="26" spans="1:35" ht="18.75" x14ac:dyDescent="0.3">
      <c r="A26" s="11"/>
      <c r="B26" s="8"/>
      <c r="C26" s="8"/>
      <c r="D26" s="9"/>
      <c r="E26" s="8"/>
      <c r="F26" s="8"/>
      <c r="G26" s="13"/>
      <c r="H26" s="27"/>
      <c r="I26" s="14"/>
      <c r="J26" s="5"/>
      <c r="K26" s="5"/>
      <c r="L26" s="5"/>
      <c r="M26" s="5"/>
      <c r="N26" s="5"/>
      <c r="O26" s="5"/>
      <c r="P26" s="5"/>
      <c r="Q26" s="5"/>
      <c r="AI26" s="8"/>
    </row>
    <row r="27" spans="1:35" ht="18.75" x14ac:dyDescent="0.3">
      <c r="A27" s="14" t="s">
        <v>16</v>
      </c>
      <c r="B27" s="15">
        <f>$G$15+24556</f>
        <v>24623</v>
      </c>
      <c r="C27" s="15" t="s">
        <v>54</v>
      </c>
      <c r="D27" s="20" t="s">
        <v>24</v>
      </c>
      <c r="E27" s="97">
        <f>B27/10000</f>
        <v>2.4622999999999999</v>
      </c>
      <c r="F27" s="97"/>
      <c r="G27" s="15" t="s">
        <v>51</v>
      </c>
      <c r="H27" s="27"/>
      <c r="J27" s="11" t="s">
        <v>34</v>
      </c>
      <c r="K27" s="91">
        <f>24.3221+R15</f>
        <v>27.322099999999999</v>
      </c>
      <c r="L27" s="91"/>
      <c r="M27" s="8" t="s">
        <v>52</v>
      </c>
      <c r="N27" s="9" t="s">
        <v>24</v>
      </c>
      <c r="O27" s="63">
        <f>Q27</f>
        <v>0</v>
      </c>
      <c r="P27" s="8" t="s">
        <v>51</v>
      </c>
      <c r="Q27" s="44">
        <v>0</v>
      </c>
      <c r="R27" s="62">
        <f>T27</f>
        <v>27</v>
      </c>
      <c r="S27" s="8" t="s">
        <v>52</v>
      </c>
      <c r="T27" s="45">
        <f>TRUNC(K27,0)</f>
        <v>27</v>
      </c>
      <c r="U27" s="62">
        <f>W27</f>
        <v>32</v>
      </c>
      <c r="V27" s="23" t="s">
        <v>55</v>
      </c>
      <c r="W27" s="45">
        <f>TRUNC((K27-T27)*100,0)</f>
        <v>32</v>
      </c>
      <c r="X27" s="62">
        <f t="shared" ref="X27:X34" si="0">Z27</f>
        <v>20.99999999998936</v>
      </c>
      <c r="Y27" s="23" t="s">
        <v>56</v>
      </c>
      <c r="Z27" s="45">
        <f>(K27-R27-U27/100)*10000</f>
        <v>20.99999999998936</v>
      </c>
    </row>
    <row r="28" spans="1:35" ht="18.75" x14ac:dyDescent="0.3">
      <c r="A28" s="11" t="s">
        <v>17</v>
      </c>
      <c r="B28" s="8">
        <f>$G$15+66</f>
        <v>133</v>
      </c>
      <c r="C28" s="8" t="s">
        <v>52</v>
      </c>
      <c r="D28" s="9" t="s">
        <v>24</v>
      </c>
      <c r="E28" s="97">
        <f>B28/100</f>
        <v>1.33</v>
      </c>
      <c r="F28" s="97"/>
      <c r="G28" s="8" t="s">
        <v>51</v>
      </c>
      <c r="H28" s="27"/>
      <c r="J28" s="11" t="s">
        <v>35</v>
      </c>
      <c r="K28" s="91">
        <f>4.99+R15</f>
        <v>7.99</v>
      </c>
      <c r="L28" s="91"/>
      <c r="M28" s="8" t="s">
        <v>51</v>
      </c>
      <c r="N28" s="9" t="s">
        <v>24</v>
      </c>
      <c r="O28" s="62">
        <f>Q28</f>
        <v>7</v>
      </c>
      <c r="P28" s="8" t="s">
        <v>51</v>
      </c>
      <c r="Q28" s="45">
        <f>TRUNC(K28,0)</f>
        <v>7</v>
      </c>
      <c r="R28" s="62">
        <f>T28</f>
        <v>99.000000000000028</v>
      </c>
      <c r="S28" s="8" t="s">
        <v>52</v>
      </c>
      <c r="T28" s="45">
        <f>(K28-Q28)*100</f>
        <v>99.000000000000028</v>
      </c>
      <c r="U28" s="62">
        <f>W28</f>
        <v>0</v>
      </c>
      <c r="V28" s="23" t="s">
        <v>55</v>
      </c>
      <c r="W28" s="45">
        <v>0</v>
      </c>
      <c r="X28" s="62">
        <f t="shared" si="0"/>
        <v>0</v>
      </c>
      <c r="Y28" s="23" t="s">
        <v>56</v>
      </c>
      <c r="Z28" s="45">
        <v>0</v>
      </c>
    </row>
    <row r="29" spans="1:35" ht="18.75" x14ac:dyDescent="0.3">
      <c r="A29" s="11" t="s">
        <v>18</v>
      </c>
      <c r="B29" s="8">
        <f>$G$15+1540</f>
        <v>1607</v>
      </c>
      <c r="C29" s="8" t="s">
        <v>53</v>
      </c>
      <c r="D29" s="9" t="s">
        <v>24</v>
      </c>
      <c r="E29" s="97">
        <f>B29/100</f>
        <v>16.07</v>
      </c>
      <c r="F29" s="97"/>
      <c r="G29" s="8" t="s">
        <v>54</v>
      </c>
      <c r="H29" s="27"/>
      <c r="J29" s="11" t="s">
        <v>36</v>
      </c>
      <c r="K29" s="91">
        <f>41.6+R15</f>
        <v>44.6</v>
      </c>
      <c r="L29" s="91"/>
      <c r="M29" s="8" t="s">
        <v>52</v>
      </c>
      <c r="N29" s="9" t="s">
        <v>24</v>
      </c>
      <c r="O29" s="62">
        <f>Q29</f>
        <v>0</v>
      </c>
      <c r="P29" s="8" t="s">
        <v>51</v>
      </c>
      <c r="Q29" s="45">
        <v>0</v>
      </c>
      <c r="R29" s="62">
        <f>T29</f>
        <v>44</v>
      </c>
      <c r="S29" s="8" t="s">
        <v>52</v>
      </c>
      <c r="T29" s="45">
        <f>TRUNC(K29,0)</f>
        <v>44</v>
      </c>
      <c r="U29" s="62">
        <f>W29</f>
        <v>60.000000000000142</v>
      </c>
      <c r="V29" s="23" t="s">
        <v>55</v>
      </c>
      <c r="W29" s="45">
        <f>(K29-R29)*100</f>
        <v>60.000000000000142</v>
      </c>
      <c r="X29" s="62">
        <f t="shared" si="0"/>
        <v>0</v>
      </c>
      <c r="Y29" s="23" t="s">
        <v>56</v>
      </c>
      <c r="Z29" s="45">
        <v>0</v>
      </c>
    </row>
    <row r="30" spans="1:35" ht="18.75" x14ac:dyDescent="0.3">
      <c r="A30" s="11" t="s">
        <v>19</v>
      </c>
      <c r="B30" s="40">
        <f>$G$15+23000023</f>
        <v>23000090</v>
      </c>
      <c r="C30" s="8" t="s">
        <v>53</v>
      </c>
      <c r="D30" s="9" t="s">
        <v>24</v>
      </c>
      <c r="E30" s="97">
        <f>B30/1000000</f>
        <v>23.00009</v>
      </c>
      <c r="F30" s="97"/>
      <c r="G30" s="8" t="s">
        <v>51</v>
      </c>
      <c r="H30" s="27"/>
      <c r="J30" s="11" t="s">
        <v>37</v>
      </c>
      <c r="K30" s="91">
        <f>2362.8+R15</f>
        <v>2365.8000000000002</v>
      </c>
      <c r="L30" s="91"/>
      <c r="M30" s="23" t="s">
        <v>55</v>
      </c>
      <c r="N30" s="9" t="s">
        <v>24</v>
      </c>
      <c r="O30" s="62"/>
      <c r="P30" s="8" t="s">
        <v>51</v>
      </c>
      <c r="Q30" s="45"/>
      <c r="R30" s="62">
        <f>T30</f>
        <v>23</v>
      </c>
      <c r="S30" s="8" t="s">
        <v>52</v>
      </c>
      <c r="T30" s="45">
        <f>TRUNC(K30/100,0)</f>
        <v>23</v>
      </c>
      <c r="U30" s="62">
        <f>W30</f>
        <v>65</v>
      </c>
      <c r="V30" s="23" t="s">
        <v>55</v>
      </c>
      <c r="W30" s="45">
        <f>TRUNC((K30-R30*100),0)</f>
        <v>65</v>
      </c>
      <c r="X30" s="62">
        <f t="shared" si="0"/>
        <v>80.000000000029104</v>
      </c>
      <c r="Y30" s="23" t="s">
        <v>56</v>
      </c>
      <c r="Z30" s="45">
        <f>(K30*100-T30*10000-W30*100)</f>
        <v>80.000000000029104</v>
      </c>
    </row>
    <row r="31" spans="1:35" ht="18.75" x14ac:dyDescent="0.3">
      <c r="A31" s="11" t="s">
        <v>20</v>
      </c>
      <c r="B31" s="8">
        <f>$G$15+18888</f>
        <v>18955</v>
      </c>
      <c r="C31" s="8" t="s">
        <v>54</v>
      </c>
      <c r="D31" s="9" t="s">
        <v>24</v>
      </c>
      <c r="E31" s="97">
        <f>B31/100</f>
        <v>189.55</v>
      </c>
      <c r="F31" s="97"/>
      <c r="G31" s="8" t="s">
        <v>52</v>
      </c>
      <c r="H31" s="27"/>
      <c r="J31" s="11" t="s">
        <v>38</v>
      </c>
      <c r="K31" s="91">
        <f>9452+R15</f>
        <v>9455</v>
      </c>
      <c r="L31" s="91"/>
      <c r="M31" s="23" t="s">
        <v>56</v>
      </c>
      <c r="N31" s="9" t="s">
        <v>24</v>
      </c>
      <c r="O31" s="62">
        <f>Q31</f>
        <v>0</v>
      </c>
      <c r="P31" s="8" t="s">
        <v>51</v>
      </c>
      <c r="Q31" s="45">
        <v>0</v>
      </c>
      <c r="R31" s="62">
        <f>T31</f>
        <v>0</v>
      </c>
      <c r="S31" s="8" t="s">
        <v>52</v>
      </c>
      <c r="T31" s="45">
        <v>0</v>
      </c>
      <c r="U31" s="62">
        <f>W31</f>
        <v>94</v>
      </c>
      <c r="V31" s="23" t="s">
        <v>55</v>
      </c>
      <c r="W31" s="45">
        <f>TRUNC(K31/100,0)</f>
        <v>94</v>
      </c>
      <c r="X31" s="62">
        <f t="shared" si="0"/>
        <v>55</v>
      </c>
      <c r="Y31" s="23" t="s">
        <v>56</v>
      </c>
      <c r="Z31" s="45">
        <f>(K31-U31*100)</f>
        <v>55</v>
      </c>
    </row>
    <row r="32" spans="1:35" ht="18.75" x14ac:dyDescent="0.3">
      <c r="A32" s="11" t="s">
        <v>21</v>
      </c>
      <c r="B32" s="8">
        <f>$G$15+7643</f>
        <v>7710</v>
      </c>
      <c r="C32" s="8" t="s">
        <v>53</v>
      </c>
      <c r="D32" s="9" t="s">
        <v>24</v>
      </c>
      <c r="E32" s="97">
        <f>B32/10000</f>
        <v>0.77100000000000002</v>
      </c>
      <c r="F32" s="97"/>
      <c r="G32" s="8" t="s">
        <v>52</v>
      </c>
      <c r="H32" s="27"/>
      <c r="J32" s="11" t="s">
        <v>39</v>
      </c>
      <c r="K32" s="91">
        <f>0.87+R15</f>
        <v>3.87</v>
      </c>
      <c r="L32" s="91"/>
      <c r="M32" s="8" t="s">
        <v>51</v>
      </c>
      <c r="N32" s="9" t="s">
        <v>24</v>
      </c>
      <c r="O32" s="62">
        <f>Q32</f>
        <v>3</v>
      </c>
      <c r="P32" s="8" t="s">
        <v>51</v>
      </c>
      <c r="Q32" s="45">
        <f>TRUNC(K32,0)</f>
        <v>3</v>
      </c>
      <c r="R32" s="62">
        <f>U32</f>
        <v>87.000000000000014</v>
      </c>
      <c r="S32" s="8" t="s">
        <v>52</v>
      </c>
      <c r="T32" s="45"/>
      <c r="U32" s="62">
        <f>(K32-Q32)*100</f>
        <v>87.000000000000014</v>
      </c>
      <c r="V32" s="23" t="s">
        <v>55</v>
      </c>
      <c r="W32" s="45">
        <v>0</v>
      </c>
      <c r="X32" s="62">
        <f t="shared" si="0"/>
        <v>0</v>
      </c>
      <c r="Y32" s="23" t="s">
        <v>56</v>
      </c>
      <c r="Z32" s="45">
        <v>0</v>
      </c>
    </row>
    <row r="33" spans="1:27" ht="18.75" x14ac:dyDescent="0.3">
      <c r="A33" s="11"/>
      <c r="B33" s="8"/>
      <c r="C33" s="8"/>
      <c r="D33" s="9"/>
      <c r="E33" s="5"/>
      <c r="F33" s="5"/>
      <c r="G33" s="8"/>
      <c r="H33" s="27"/>
      <c r="J33" s="11" t="s">
        <v>40</v>
      </c>
      <c r="K33" s="91">
        <f>2.43+R15</f>
        <v>5.43</v>
      </c>
      <c r="L33" s="91"/>
      <c r="M33" s="8" t="s">
        <v>53</v>
      </c>
      <c r="N33" s="9" t="s">
        <v>24</v>
      </c>
      <c r="O33" s="62">
        <f>Q33</f>
        <v>0</v>
      </c>
      <c r="P33" s="8" t="s">
        <v>51</v>
      </c>
      <c r="Q33" s="45">
        <v>0</v>
      </c>
      <c r="R33" s="62">
        <f>T33</f>
        <v>0</v>
      </c>
      <c r="S33" s="8" t="s">
        <v>52</v>
      </c>
      <c r="T33" s="45">
        <v>0</v>
      </c>
      <c r="U33" s="62">
        <f>W33</f>
        <v>5</v>
      </c>
      <c r="V33" s="23" t="s">
        <v>55</v>
      </c>
      <c r="W33" s="45">
        <f>TRUNC(K33,0)</f>
        <v>5</v>
      </c>
      <c r="X33" s="62">
        <f t="shared" si="0"/>
        <v>42.999999999999972</v>
      </c>
      <c r="Y33" s="23" t="s">
        <v>56</v>
      </c>
      <c r="Z33" s="45">
        <f>(K33-W33)*100</f>
        <v>42.999999999999972</v>
      </c>
    </row>
    <row r="34" spans="1:27" ht="18.75" x14ac:dyDescent="0.3">
      <c r="A34" s="11"/>
      <c r="B34" s="8"/>
      <c r="C34" s="8"/>
      <c r="D34" s="9"/>
      <c r="E34" s="5"/>
      <c r="F34" s="5"/>
      <c r="G34" s="8"/>
      <c r="H34" s="27"/>
      <c r="J34" s="11" t="s">
        <v>41</v>
      </c>
      <c r="K34" s="91">
        <f>82.9+R15</f>
        <v>85.9</v>
      </c>
      <c r="L34" s="91"/>
      <c r="M34" s="23" t="s">
        <v>55</v>
      </c>
      <c r="N34" s="9" t="s">
        <v>24</v>
      </c>
      <c r="O34" s="62">
        <f>Q34</f>
        <v>0</v>
      </c>
      <c r="P34" s="8" t="s">
        <v>51</v>
      </c>
      <c r="Q34" s="45">
        <v>0</v>
      </c>
      <c r="R34" s="62">
        <f>T34</f>
        <v>0</v>
      </c>
      <c r="S34" s="8" t="s">
        <v>52</v>
      </c>
      <c r="T34" s="45">
        <v>0</v>
      </c>
      <c r="U34" s="62">
        <f>W34</f>
        <v>85</v>
      </c>
      <c r="V34" s="23" t="s">
        <v>55</v>
      </c>
      <c r="W34" s="45">
        <f>TRUNC(K34,0)</f>
        <v>85</v>
      </c>
      <c r="X34" s="62">
        <f t="shared" si="0"/>
        <v>90.000000000000568</v>
      </c>
      <c r="Y34" s="23" t="s">
        <v>56</v>
      </c>
      <c r="Z34" s="45">
        <f>(K34-U34)*100</f>
        <v>90.000000000000568</v>
      </c>
    </row>
    <row r="35" spans="1:27" ht="18.75" x14ac:dyDescent="0.3">
      <c r="A35" s="11"/>
      <c r="B35" s="8"/>
      <c r="C35" s="8"/>
      <c r="D35" s="8"/>
      <c r="E35" s="8"/>
      <c r="F35" s="8"/>
      <c r="G35" s="5"/>
      <c r="H35" s="5"/>
      <c r="J35" s="5"/>
      <c r="L35" s="93" t="s">
        <v>44</v>
      </c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42"/>
      <c r="Z35" s="42"/>
      <c r="AA35" s="42"/>
    </row>
    <row r="36" spans="1:27" ht="15.75" x14ac:dyDescent="0.25">
      <c r="A36" s="5"/>
      <c r="B36" s="5"/>
      <c r="C36" s="5"/>
      <c r="D36" s="5"/>
      <c r="E36" s="5"/>
      <c r="F36" s="5"/>
      <c r="G36" s="5"/>
      <c r="H36" s="5"/>
      <c r="J36" s="5"/>
      <c r="K36" s="5"/>
      <c r="L36" s="32"/>
      <c r="M36" s="32"/>
    </row>
    <row r="37" spans="1:27" ht="18.75" x14ac:dyDescent="0.3">
      <c r="A37" s="10"/>
      <c r="B37" s="4"/>
      <c r="C37" s="4"/>
      <c r="D37" s="4"/>
      <c r="E37" s="4"/>
      <c r="F37" s="5"/>
      <c r="G37" s="5"/>
      <c r="H37" s="5"/>
      <c r="J37" s="5"/>
      <c r="K37" s="5"/>
      <c r="L37" s="5"/>
    </row>
    <row r="38" spans="1:27" ht="18.75" x14ac:dyDescent="0.3">
      <c r="A38" s="10"/>
      <c r="B38" s="5"/>
      <c r="C38" s="5"/>
      <c r="D38" s="5"/>
      <c r="E38" s="5"/>
      <c r="F38" s="5"/>
      <c r="G38" s="5"/>
      <c r="H38" s="5"/>
      <c r="J38" s="5"/>
      <c r="K38" s="5"/>
      <c r="L38" s="5"/>
    </row>
    <row r="39" spans="1:27" ht="15.75" x14ac:dyDescent="0.25">
      <c r="B39" s="5"/>
      <c r="C39" s="5"/>
      <c r="D39" s="5"/>
      <c r="E39" s="5"/>
      <c r="F39" s="5"/>
      <c r="G39" s="5"/>
      <c r="H39" s="5"/>
      <c r="J39" s="5"/>
      <c r="K39" s="5"/>
      <c r="L39" s="5"/>
    </row>
    <row r="40" spans="1:27" ht="18.75" x14ac:dyDescent="0.3">
      <c r="A40" s="11"/>
    </row>
    <row r="41" spans="1:27" ht="18.75" x14ac:dyDescent="0.3">
      <c r="A41" s="11"/>
    </row>
    <row r="42" spans="1:27" ht="18.75" x14ac:dyDescent="0.3">
      <c r="A42" s="11"/>
      <c r="N42" s="5"/>
      <c r="O42" s="5"/>
      <c r="P42" s="5"/>
      <c r="Q42" s="5"/>
    </row>
    <row r="43" spans="1:27" ht="18.75" x14ac:dyDescent="0.3">
      <c r="A43" s="11"/>
      <c r="N43" s="5"/>
      <c r="O43" s="5"/>
      <c r="P43" s="5"/>
      <c r="Q43" s="5"/>
    </row>
    <row r="44" spans="1:27" ht="18.75" x14ac:dyDescent="0.3">
      <c r="A44" s="11"/>
      <c r="N44" s="5"/>
      <c r="O44" s="5"/>
      <c r="P44" s="5"/>
      <c r="Q44" s="5"/>
    </row>
    <row r="45" spans="1:27" ht="18.75" x14ac:dyDescent="0.3">
      <c r="A45" s="11"/>
      <c r="N45" s="5"/>
      <c r="O45" s="5"/>
      <c r="P45" s="5"/>
      <c r="Q45" s="5"/>
    </row>
    <row r="46" spans="1:27" ht="18.75" x14ac:dyDescent="0.3">
      <c r="A46" s="11"/>
      <c r="N46" s="5"/>
      <c r="O46" s="5"/>
      <c r="P46" s="5"/>
      <c r="Q46" s="5"/>
    </row>
    <row r="47" spans="1:27" ht="18.75" x14ac:dyDescent="0.3">
      <c r="A47" s="11"/>
      <c r="N47" s="5"/>
      <c r="O47" s="5"/>
      <c r="P47" s="5"/>
      <c r="Q47" s="5"/>
    </row>
    <row r="48" spans="1:27" ht="15.75" x14ac:dyDescent="0.25">
      <c r="N48" s="5"/>
      <c r="O48" s="5"/>
      <c r="P48" s="5"/>
      <c r="Q48" s="5"/>
    </row>
    <row r="49" spans="1:17" ht="15.75" x14ac:dyDescent="0.25">
      <c r="N49" s="5"/>
      <c r="O49" s="5"/>
      <c r="P49" s="5"/>
      <c r="Q49" s="5"/>
    </row>
    <row r="50" spans="1:17" ht="18.75" x14ac:dyDescent="0.3">
      <c r="A50" s="14"/>
      <c r="B50" s="5"/>
      <c r="C50" s="5"/>
      <c r="E50" s="5"/>
      <c r="G50" s="5"/>
      <c r="H50" s="5"/>
      <c r="J50" s="5"/>
      <c r="K50" s="5"/>
      <c r="M50" s="5"/>
      <c r="N50" s="5"/>
      <c r="O50" s="5"/>
      <c r="P50" s="5"/>
      <c r="Q50" s="5"/>
    </row>
    <row r="51" spans="1:17" ht="18.75" x14ac:dyDescent="0.3">
      <c r="A51" s="11"/>
      <c r="B51" s="5"/>
      <c r="C51" s="5"/>
      <c r="E51" s="5"/>
      <c r="G51" s="5"/>
      <c r="H51" s="5"/>
      <c r="J51" s="5"/>
      <c r="K51" s="5"/>
      <c r="M51" s="5"/>
      <c r="N51" s="5"/>
      <c r="O51" s="5"/>
      <c r="P51" s="5"/>
      <c r="Q51" s="5"/>
    </row>
    <row r="52" spans="1:17" ht="18.75" x14ac:dyDescent="0.3">
      <c r="A52" s="11"/>
      <c r="B52" s="5"/>
      <c r="C52" s="5"/>
      <c r="E52" s="5"/>
      <c r="G52" s="5"/>
      <c r="H52" s="5"/>
      <c r="J52" s="5"/>
      <c r="K52" s="5"/>
      <c r="M52" s="5"/>
      <c r="N52" s="5"/>
      <c r="O52" s="5"/>
      <c r="P52" s="5"/>
      <c r="Q52" s="5"/>
    </row>
    <row r="53" spans="1:17" ht="18.75" x14ac:dyDescent="0.3">
      <c r="A53" s="11"/>
      <c r="B53" s="5"/>
      <c r="C53" s="5"/>
      <c r="E53" s="5"/>
      <c r="G53" s="5"/>
      <c r="H53" s="5"/>
      <c r="J53" s="5"/>
      <c r="K53" s="5"/>
      <c r="M53" s="5"/>
      <c r="N53" s="5"/>
      <c r="O53" s="5"/>
      <c r="P53" s="5"/>
      <c r="Q53" s="5"/>
    </row>
    <row r="54" spans="1:17" ht="18.75" x14ac:dyDescent="0.3">
      <c r="A54" s="11"/>
      <c r="B54" s="5"/>
      <c r="C54" s="5"/>
      <c r="E54" s="5"/>
      <c r="G54" s="5"/>
      <c r="H54" s="5"/>
      <c r="J54" s="5"/>
      <c r="K54" s="5"/>
      <c r="M54" s="5"/>
      <c r="N54" s="5"/>
      <c r="O54" s="5"/>
      <c r="P54" s="5"/>
      <c r="Q54" s="5"/>
    </row>
    <row r="55" spans="1:17" ht="18.75" x14ac:dyDescent="0.3">
      <c r="A55" s="11"/>
      <c r="B55" s="5"/>
      <c r="C55" s="5"/>
      <c r="E55" s="5"/>
      <c r="G55" s="5"/>
      <c r="H55" s="5"/>
      <c r="J55" s="5"/>
      <c r="K55" s="5"/>
      <c r="M55" s="5"/>
      <c r="N55" s="5"/>
      <c r="O55" s="5"/>
      <c r="P55" s="5"/>
      <c r="Q55" s="5"/>
    </row>
    <row r="56" spans="1:17" ht="18.75" x14ac:dyDescent="0.3">
      <c r="A56" s="11"/>
      <c r="B56" s="5"/>
      <c r="C56" s="5"/>
      <c r="E56" s="5"/>
      <c r="G56" s="5"/>
      <c r="H56" s="5"/>
      <c r="J56" s="5"/>
      <c r="K56" s="5"/>
      <c r="M56" s="5"/>
      <c r="N56" s="5"/>
      <c r="O56" s="5"/>
      <c r="P56" s="5"/>
      <c r="Q56" s="5"/>
    </row>
    <row r="57" spans="1:17" ht="18.75" x14ac:dyDescent="0.3">
      <c r="A57" s="11"/>
      <c r="B57" s="5"/>
      <c r="C57" s="5"/>
      <c r="E57" s="5"/>
      <c r="G57" s="5"/>
      <c r="H57" s="5"/>
      <c r="J57" s="5"/>
      <c r="K57" s="5"/>
      <c r="M57" s="5"/>
      <c r="N57" s="5"/>
      <c r="O57" s="5"/>
      <c r="P57" s="5"/>
      <c r="Q57" s="5"/>
    </row>
    <row r="58" spans="1:17" ht="15.75" x14ac:dyDescent="0.25">
      <c r="A58" s="5"/>
      <c r="B58" s="5"/>
      <c r="C58" s="5"/>
      <c r="D58" s="5"/>
      <c r="E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1:17" ht="18.75" x14ac:dyDescent="0.3">
      <c r="A59" s="10"/>
      <c r="B59" s="4"/>
      <c r="C59" s="4"/>
      <c r="D59" s="4"/>
      <c r="E59" s="4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1:17" ht="15.75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1:17" ht="18.75" x14ac:dyDescent="0.3">
      <c r="A61" s="11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1:17" ht="18.75" x14ac:dyDescent="0.3">
      <c r="A62" s="11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ht="18.75" x14ac:dyDescent="0.3">
      <c r="A63" s="11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7" ht="18.75" x14ac:dyDescent="0.3">
      <c r="A64" s="11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1:17" ht="18.75" x14ac:dyDescent="0.3">
      <c r="A65" s="11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1:17" ht="18.75" x14ac:dyDescent="0.3">
      <c r="A66" s="11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1:17" ht="18.75" x14ac:dyDescent="0.3">
      <c r="A67" s="11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17" ht="18.75" x14ac:dyDescent="0.3">
      <c r="A68" s="11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7" ht="18.75" x14ac:dyDescent="0.3">
      <c r="A69" s="11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17" ht="18.75" x14ac:dyDescent="0.3">
      <c r="A70" s="11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ht="18.75" x14ac:dyDescent="0.3">
      <c r="A71" s="11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 ht="18.75" x14ac:dyDescent="0.3">
      <c r="A72" s="11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17" ht="18.75" x14ac:dyDescent="0.3">
      <c r="A73" s="11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ht="18.75" x14ac:dyDescent="0.3">
      <c r="A74" s="11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7" ht="18.75" x14ac:dyDescent="0.3">
      <c r="A75" s="11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1:17" ht="18.75" x14ac:dyDescent="0.3">
      <c r="A76" s="11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17" ht="18.75" x14ac:dyDescent="0.3">
      <c r="A77" s="11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1:17" ht="18.75" x14ac:dyDescent="0.3">
      <c r="A78" s="11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</sheetData>
  <sheetProtection password="C7EC" sheet="1" objects="1" scenarios="1"/>
  <mergeCells count="31">
    <mergeCell ref="L35:X35"/>
    <mergeCell ref="A1:Y2"/>
    <mergeCell ref="E31:F31"/>
    <mergeCell ref="K31:L31"/>
    <mergeCell ref="E32:F32"/>
    <mergeCell ref="K32:L32"/>
    <mergeCell ref="K33:L33"/>
    <mergeCell ref="K34:L34"/>
    <mergeCell ref="K27:L27"/>
    <mergeCell ref="E28:F28"/>
    <mergeCell ref="K28:L28"/>
    <mergeCell ref="E29:F29"/>
    <mergeCell ref="K29:L29"/>
    <mergeCell ref="E30:F30"/>
    <mergeCell ref="K30:L30"/>
    <mergeCell ref="E19:F19"/>
    <mergeCell ref="E20:F20"/>
    <mergeCell ref="E21:F21"/>
    <mergeCell ref="E22:F22"/>
    <mergeCell ref="E23:F23"/>
    <mergeCell ref="E27:F27"/>
    <mergeCell ref="A15:F15"/>
    <mergeCell ref="J15:Q15"/>
    <mergeCell ref="E17:F17"/>
    <mergeCell ref="E18:F18"/>
    <mergeCell ref="N9:O9"/>
    <mergeCell ref="R9:S9"/>
    <mergeCell ref="N10:O10"/>
    <mergeCell ref="R10:S10"/>
    <mergeCell ref="R11:S11"/>
    <mergeCell ref="B4:G4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7"/>
  <sheetViews>
    <sheetView workbookViewId="0">
      <selection activeCell="I31" sqref="I31"/>
    </sheetView>
  </sheetViews>
  <sheetFormatPr baseColWidth="10" defaultRowHeight="15" x14ac:dyDescent="0.25"/>
  <cols>
    <col min="1" max="1" width="5.140625" customWidth="1"/>
    <col min="2" max="2" width="12.42578125" bestFit="1" customWidth="1"/>
    <col min="3" max="3" width="5.140625" customWidth="1"/>
    <col min="4" max="4" width="5.5703125" customWidth="1"/>
    <col min="5" max="5" width="8.42578125" customWidth="1"/>
    <col min="6" max="6" width="6.85546875" customWidth="1"/>
    <col min="7" max="7" width="7" customWidth="1"/>
    <col min="8" max="8" width="12" hidden="1" customWidth="1"/>
    <col min="9" max="9" width="11.28515625" bestFit="1" customWidth="1"/>
    <col min="10" max="10" width="6.140625" customWidth="1"/>
    <col min="11" max="11" width="9.28515625" customWidth="1"/>
    <col min="12" max="12" width="5.85546875" customWidth="1"/>
    <col min="13" max="13" width="7.5703125" customWidth="1"/>
    <col min="14" max="14" width="6" customWidth="1"/>
    <col min="15" max="15" width="6.7109375" customWidth="1"/>
    <col min="16" max="16" width="6" customWidth="1"/>
    <col min="17" max="18" width="6.140625" customWidth="1"/>
    <col min="19" max="19" width="6.7109375" customWidth="1"/>
    <col min="20" max="21" width="7.42578125" customWidth="1"/>
    <col min="22" max="22" width="14.140625" bestFit="1" customWidth="1"/>
    <col min="23" max="23" width="10.85546875" bestFit="1" customWidth="1"/>
    <col min="24" max="24" width="11.28515625" bestFit="1" customWidth="1"/>
    <col min="25" max="25" width="14.5703125" hidden="1" customWidth="1"/>
    <col min="26" max="26" width="6.85546875" customWidth="1"/>
    <col min="27" max="27" width="7.140625" customWidth="1"/>
    <col min="28" max="30" width="5.28515625" customWidth="1"/>
    <col min="31" max="31" width="5.7109375" customWidth="1"/>
    <col min="32" max="34" width="10.7109375" customWidth="1"/>
    <col min="35" max="35" width="8.42578125" customWidth="1"/>
    <col min="36" max="36" width="11.42578125" customWidth="1"/>
  </cols>
  <sheetData>
    <row r="1" spans="1:35" ht="23.25" customHeight="1" x14ac:dyDescent="0.25">
      <c r="A1" s="86" t="s">
        <v>57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</row>
    <row r="2" spans="1:35" ht="15" customHeigh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</row>
    <row r="3" spans="1:35" ht="18.75" x14ac:dyDescent="0.3">
      <c r="A3" s="10" t="s">
        <v>7</v>
      </c>
      <c r="B3" s="4"/>
      <c r="C3" s="4"/>
      <c r="D3" s="4"/>
      <c r="E3" s="4"/>
      <c r="F3" s="4"/>
      <c r="G3" s="5"/>
    </row>
    <row r="4" spans="1:35" ht="15.75" x14ac:dyDescent="0.25">
      <c r="A4" s="5"/>
      <c r="B4" s="87" t="s">
        <v>42</v>
      </c>
      <c r="C4" s="87"/>
      <c r="D4" s="87"/>
      <c r="E4" s="87"/>
      <c r="F4" s="87"/>
      <c r="G4" s="87"/>
    </row>
    <row r="5" spans="1:35" ht="15.75" x14ac:dyDescent="0.25">
      <c r="A5" s="5"/>
      <c r="B5" s="49"/>
      <c r="C5" s="49"/>
      <c r="D5" s="49"/>
      <c r="E5" s="49"/>
      <c r="F5" s="49"/>
      <c r="G5" s="49"/>
    </row>
    <row r="6" spans="1:35" s="2" customFormat="1" ht="21" x14ac:dyDescent="0.3">
      <c r="A6" s="12" t="s">
        <v>58</v>
      </c>
      <c r="B6" s="6"/>
      <c r="C6" s="12" t="s">
        <v>59</v>
      </c>
      <c r="D6" s="6"/>
      <c r="E6" s="12" t="s">
        <v>60</v>
      </c>
      <c r="F6" s="6"/>
      <c r="G6" s="12" t="s">
        <v>61</v>
      </c>
    </row>
    <row r="7" spans="1:35" ht="15.75" customHeight="1" x14ac:dyDescent="0.25">
      <c r="A7" s="1"/>
      <c r="B7" s="1"/>
      <c r="C7" s="5"/>
      <c r="D7" s="1"/>
      <c r="E7" s="5"/>
      <c r="F7" s="1"/>
      <c r="G7" s="1"/>
      <c r="H7" s="5"/>
      <c r="Q7" s="5"/>
    </row>
    <row r="8" spans="1:35" ht="18" x14ac:dyDescent="0.25">
      <c r="A8" s="5"/>
      <c r="B8" s="48"/>
      <c r="C8" s="5"/>
      <c r="D8" s="48"/>
      <c r="E8" s="5"/>
      <c r="F8" s="48"/>
      <c r="G8" s="5"/>
      <c r="H8" s="5"/>
      <c r="K8" s="51" t="s">
        <v>69</v>
      </c>
      <c r="L8" s="9" t="s">
        <v>24</v>
      </c>
      <c r="M8" s="48"/>
      <c r="N8" s="51" t="s">
        <v>63</v>
      </c>
      <c r="O8" s="9" t="s">
        <v>24</v>
      </c>
      <c r="P8" s="85"/>
      <c r="Q8" s="85"/>
      <c r="R8" s="51" t="s">
        <v>64</v>
      </c>
      <c r="S8" s="9" t="s">
        <v>24</v>
      </c>
      <c r="T8" s="85"/>
      <c r="U8" s="85"/>
      <c r="V8" s="51" t="s">
        <v>65</v>
      </c>
    </row>
    <row r="9" spans="1:35" ht="18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1"/>
      <c r="L9" s="51"/>
      <c r="M9" s="51"/>
      <c r="N9" s="51" t="s">
        <v>70</v>
      </c>
      <c r="O9" s="9" t="s">
        <v>24</v>
      </c>
      <c r="P9" s="85"/>
      <c r="Q9" s="85"/>
      <c r="R9" s="51" t="s">
        <v>64</v>
      </c>
      <c r="S9" s="9" t="s">
        <v>24</v>
      </c>
      <c r="T9" s="85"/>
      <c r="U9" s="85"/>
      <c r="V9" s="51" t="s">
        <v>65</v>
      </c>
    </row>
    <row r="10" spans="1:35" ht="18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1" t="s">
        <v>71</v>
      </c>
      <c r="S10" s="9" t="s">
        <v>24</v>
      </c>
      <c r="T10" s="85"/>
      <c r="U10" s="85"/>
      <c r="V10" s="51" t="s">
        <v>65</v>
      </c>
    </row>
    <row r="11" spans="1:35" ht="15.75" x14ac:dyDescent="0.25"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35" ht="18.75" x14ac:dyDescent="0.3">
      <c r="A12" s="10" t="s">
        <v>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35" ht="15.75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35" ht="15.75" x14ac:dyDescent="0.25">
      <c r="A14" s="88" t="s">
        <v>23</v>
      </c>
      <c r="B14" s="88"/>
      <c r="C14" s="88"/>
      <c r="D14" s="88"/>
      <c r="E14" s="88"/>
      <c r="F14" s="88"/>
      <c r="G14" s="34">
        <v>67</v>
      </c>
      <c r="J14" s="27"/>
      <c r="K14" s="5"/>
      <c r="L14" s="88" t="s">
        <v>43</v>
      </c>
      <c r="M14" s="88"/>
      <c r="N14" s="88"/>
      <c r="O14" s="88"/>
      <c r="P14" s="88"/>
      <c r="Q14" s="88"/>
      <c r="R14" s="88"/>
      <c r="S14" s="88"/>
      <c r="T14" s="34">
        <v>3</v>
      </c>
    </row>
    <row r="15" spans="1:35" ht="15.75" x14ac:dyDescent="0.25">
      <c r="A15" s="5"/>
      <c r="B15" s="5"/>
      <c r="C15" s="5"/>
      <c r="D15" s="5"/>
      <c r="E15" s="5"/>
      <c r="F15" s="5"/>
      <c r="G15" s="5"/>
      <c r="H15" s="5"/>
      <c r="I15" s="39" t="s">
        <v>45</v>
      </c>
      <c r="J15" s="27"/>
      <c r="K15" s="5"/>
      <c r="L15" s="5"/>
      <c r="M15" s="5"/>
      <c r="N15" s="5"/>
      <c r="O15" s="5"/>
      <c r="P15" s="5"/>
      <c r="Q15" s="5"/>
      <c r="R15" s="5"/>
      <c r="S15" s="5"/>
      <c r="T15" s="3"/>
      <c r="U15" s="3"/>
      <c r="X15" s="39" t="s">
        <v>45</v>
      </c>
    </row>
    <row r="16" spans="1:35" ht="18.75" x14ac:dyDescent="0.3">
      <c r="A16" s="11" t="s">
        <v>8</v>
      </c>
      <c r="B16" s="51">
        <f>$G$14+7.57</f>
        <v>74.569999999999993</v>
      </c>
      <c r="C16" s="51" t="s">
        <v>62</v>
      </c>
      <c r="D16" s="9" t="s">
        <v>24</v>
      </c>
      <c r="E16" s="90"/>
      <c r="F16" s="90"/>
      <c r="G16" s="51" t="s">
        <v>63</v>
      </c>
      <c r="H16">
        <f>B16*1000</f>
        <v>74570</v>
      </c>
      <c r="I16" s="38" t="str">
        <f t="shared" ref="I16:I21" si="0">IF(E16="","x",IF(E16=H16,"richtig","falsch"))</f>
        <v>x</v>
      </c>
      <c r="J16" s="27"/>
      <c r="L16" s="11" t="s">
        <v>26</v>
      </c>
      <c r="M16" s="23">
        <v>0</v>
      </c>
      <c r="N16" s="51" t="s">
        <v>62</v>
      </c>
      <c r="O16" s="23">
        <f>2+T14</f>
        <v>5</v>
      </c>
      <c r="P16" s="51" t="s">
        <v>63</v>
      </c>
      <c r="Q16" s="23">
        <v>78</v>
      </c>
      <c r="R16" s="51" t="s">
        <v>64</v>
      </c>
      <c r="S16" s="23">
        <v>35</v>
      </c>
      <c r="T16" s="51" t="s">
        <v>65</v>
      </c>
      <c r="U16" s="24" t="s">
        <v>24</v>
      </c>
      <c r="V16" s="50"/>
      <c r="W16" s="51" t="s">
        <v>63</v>
      </c>
      <c r="X16" s="38" t="str">
        <f>IF(V16="","x",IF(V16=Y16,"richtig","falsch"))</f>
        <v>x</v>
      </c>
      <c r="Y16">
        <f>O16+Q16/1000+S16/1000000</f>
        <v>5.0780349999999999</v>
      </c>
      <c r="Z16" s="23"/>
      <c r="AC16" s="23"/>
      <c r="AD16" s="23"/>
    </row>
    <row r="17" spans="1:37" ht="18.75" x14ac:dyDescent="0.3">
      <c r="A17" s="11" t="s">
        <v>9</v>
      </c>
      <c r="B17" s="51">
        <f>$G$14+87.83</f>
        <v>154.82999999999998</v>
      </c>
      <c r="C17" s="51" t="s">
        <v>63</v>
      </c>
      <c r="D17" s="9" t="s">
        <v>24</v>
      </c>
      <c r="E17" s="92"/>
      <c r="F17" s="92"/>
      <c r="G17" s="51" t="s">
        <v>65</v>
      </c>
      <c r="H17" s="41">
        <f>B17*1000000</f>
        <v>154829999.99999997</v>
      </c>
      <c r="I17" s="38" t="str">
        <f t="shared" si="0"/>
        <v>x</v>
      </c>
      <c r="J17" s="27"/>
      <c r="L17" s="11" t="s">
        <v>27</v>
      </c>
      <c r="M17" s="51">
        <v>2</v>
      </c>
      <c r="N17" s="51" t="s">
        <v>62</v>
      </c>
      <c r="O17" s="51">
        <v>9</v>
      </c>
      <c r="P17" s="51" t="s">
        <v>63</v>
      </c>
      <c r="Q17" s="23">
        <f>11+T14</f>
        <v>14</v>
      </c>
      <c r="R17" s="51" t="s">
        <v>64</v>
      </c>
      <c r="S17" s="23">
        <v>26</v>
      </c>
      <c r="T17" s="51" t="s">
        <v>65</v>
      </c>
      <c r="U17" s="24" t="s">
        <v>24</v>
      </c>
      <c r="V17" s="50"/>
      <c r="W17" s="51" t="s">
        <v>62</v>
      </c>
      <c r="X17" s="38" t="str">
        <f t="shared" ref="X17:X23" si="1">IF(V17="","x",IF(V17=Y17,"richtig","falsch"))</f>
        <v>x</v>
      </c>
      <c r="Y17">
        <f>M17+O17/1000+Q17/1000000+S17/1000000000</f>
        <v>2.009014026</v>
      </c>
      <c r="Z17" s="23"/>
      <c r="AC17" s="23"/>
      <c r="AD17" s="23"/>
    </row>
    <row r="18" spans="1:37" ht="18.75" x14ac:dyDescent="0.3">
      <c r="A18" s="11" t="s">
        <v>10</v>
      </c>
      <c r="B18" s="51">
        <f>$G$14+36.4</f>
        <v>103.4</v>
      </c>
      <c r="C18" s="51" t="s">
        <v>64</v>
      </c>
      <c r="D18" s="9" t="s">
        <v>24</v>
      </c>
      <c r="E18" s="92"/>
      <c r="F18" s="92"/>
      <c r="G18" s="51" t="s">
        <v>65</v>
      </c>
      <c r="H18">
        <f>B18*1000</f>
        <v>103400</v>
      </c>
      <c r="I18" s="38" t="str">
        <f t="shared" si="0"/>
        <v>x</v>
      </c>
      <c r="J18" s="27"/>
      <c r="L18" s="11" t="s">
        <v>28</v>
      </c>
      <c r="M18" s="51">
        <v>2</v>
      </c>
      <c r="N18" s="51" t="s">
        <v>62</v>
      </c>
      <c r="O18" s="51">
        <v>17</v>
      </c>
      <c r="P18" s="51" t="s">
        <v>63</v>
      </c>
      <c r="Q18" s="23">
        <f>1+T14</f>
        <v>4</v>
      </c>
      <c r="R18" s="51" t="s">
        <v>64</v>
      </c>
      <c r="S18" s="23">
        <v>9</v>
      </c>
      <c r="T18" s="51" t="s">
        <v>65</v>
      </c>
      <c r="U18" s="24" t="s">
        <v>24</v>
      </c>
      <c r="V18" s="54"/>
      <c r="W18" s="51" t="s">
        <v>64</v>
      </c>
      <c r="X18" s="38" t="str">
        <f t="shared" si="1"/>
        <v>x</v>
      </c>
      <c r="Y18" s="53">
        <f>M18*1000000+O18*1000+Q18+S18/1000</f>
        <v>2017004.0090000001</v>
      </c>
      <c r="Z18" s="23"/>
      <c r="AC18" s="23"/>
      <c r="AD18" s="23"/>
    </row>
    <row r="19" spans="1:37" ht="18.75" x14ac:dyDescent="0.3">
      <c r="A19" s="11" t="s">
        <v>11</v>
      </c>
      <c r="B19" s="51">
        <f>$G$14+6.95</f>
        <v>73.95</v>
      </c>
      <c r="C19" s="51" t="s">
        <v>62</v>
      </c>
      <c r="D19" s="9" t="s">
        <v>24</v>
      </c>
      <c r="E19" s="92"/>
      <c r="F19" s="92"/>
      <c r="G19" s="51" t="s">
        <v>65</v>
      </c>
      <c r="H19">
        <f>B19*1000000000</f>
        <v>73950000000</v>
      </c>
      <c r="I19" s="38" t="str">
        <f t="shared" si="0"/>
        <v>x</v>
      </c>
      <c r="J19" s="27"/>
      <c r="K19" s="51"/>
      <c r="L19" s="11" t="s">
        <v>29</v>
      </c>
      <c r="M19" s="51">
        <v>0</v>
      </c>
      <c r="N19" s="51" t="s">
        <v>62</v>
      </c>
      <c r="O19" s="51">
        <v>3</v>
      </c>
      <c r="P19" s="51" t="s">
        <v>63</v>
      </c>
      <c r="Q19" s="23">
        <v>50</v>
      </c>
      <c r="R19" s="51" t="s">
        <v>64</v>
      </c>
      <c r="S19" s="23">
        <f>2+T14</f>
        <v>5</v>
      </c>
      <c r="T19" s="51" t="s">
        <v>65</v>
      </c>
      <c r="U19" s="24" t="s">
        <v>24</v>
      </c>
      <c r="V19" s="50"/>
      <c r="W19" s="51" t="s">
        <v>65</v>
      </c>
      <c r="X19" s="38" t="str">
        <f t="shared" si="1"/>
        <v>x</v>
      </c>
      <c r="Y19">
        <f>O19*1000000+Q19*1000+S19</f>
        <v>3050005</v>
      </c>
      <c r="Z19" s="23"/>
      <c r="AC19" s="23"/>
      <c r="AD19" s="23"/>
    </row>
    <row r="20" spans="1:37" ht="18.75" x14ac:dyDescent="0.3">
      <c r="A20" s="11" t="s">
        <v>12</v>
      </c>
      <c r="B20" s="51">
        <f>$G$14+3.4279</f>
        <v>70.427899999999994</v>
      </c>
      <c r="C20" s="51" t="s">
        <v>62</v>
      </c>
      <c r="D20" s="9" t="s">
        <v>24</v>
      </c>
      <c r="E20" s="92"/>
      <c r="F20" s="92"/>
      <c r="G20" s="51" t="s">
        <v>64</v>
      </c>
      <c r="H20">
        <f>B20*1000000</f>
        <v>70427900</v>
      </c>
      <c r="I20" s="38" t="str">
        <f t="shared" si="0"/>
        <v>x</v>
      </c>
      <c r="J20" s="27"/>
      <c r="L20" s="11" t="s">
        <v>30</v>
      </c>
      <c r="M20" s="51">
        <v>87</v>
      </c>
      <c r="N20" s="51" t="s">
        <v>62</v>
      </c>
      <c r="O20" s="51">
        <v>9</v>
      </c>
      <c r="P20" s="51" t="s">
        <v>63</v>
      </c>
      <c r="Q20" s="23">
        <v>25</v>
      </c>
      <c r="R20" s="51" t="s">
        <v>64</v>
      </c>
      <c r="S20" s="23">
        <v>73</v>
      </c>
      <c r="T20" s="51" t="s">
        <v>65</v>
      </c>
      <c r="U20" s="24" t="s">
        <v>24</v>
      </c>
      <c r="V20" s="43"/>
      <c r="W20" s="51" t="s">
        <v>63</v>
      </c>
      <c r="X20" s="38" t="str">
        <f t="shared" si="1"/>
        <v>x</v>
      </c>
      <c r="Y20" s="55">
        <f>M20*1000+O20+Q20/1000+S20/1000000</f>
        <v>87009.025072999997</v>
      </c>
      <c r="Z20" s="23"/>
      <c r="AC20" s="23"/>
      <c r="AD20" s="23"/>
    </row>
    <row r="21" spans="1:37" ht="18.75" x14ac:dyDescent="0.3">
      <c r="A21" s="11" t="s">
        <v>13</v>
      </c>
      <c r="B21" s="51">
        <f>$G$14+436</f>
        <v>503</v>
      </c>
      <c r="C21" s="51" t="s">
        <v>63</v>
      </c>
      <c r="D21" s="9" t="s">
        <v>24</v>
      </c>
      <c r="E21" s="92"/>
      <c r="F21" s="92"/>
      <c r="G21" s="51" t="s">
        <v>64</v>
      </c>
      <c r="H21">
        <f>B21*1000</f>
        <v>503000</v>
      </c>
      <c r="I21" s="38" t="str">
        <f t="shared" si="0"/>
        <v>x</v>
      </c>
      <c r="J21" s="27"/>
      <c r="L21" s="11" t="s">
        <v>31</v>
      </c>
      <c r="M21" s="51">
        <v>0</v>
      </c>
      <c r="N21" s="51" t="s">
        <v>62</v>
      </c>
      <c r="O21" s="51">
        <v>0</v>
      </c>
      <c r="P21" s="51" t="s">
        <v>63</v>
      </c>
      <c r="Q21" s="23">
        <f>44+T14</f>
        <v>47</v>
      </c>
      <c r="R21" s="51" t="s">
        <v>64</v>
      </c>
      <c r="S21" s="23">
        <v>18</v>
      </c>
      <c r="T21" s="51" t="s">
        <v>65</v>
      </c>
      <c r="U21" s="24" t="s">
        <v>24</v>
      </c>
      <c r="V21" s="50"/>
      <c r="W21" s="51" t="s">
        <v>64</v>
      </c>
      <c r="X21" s="38" t="str">
        <f t="shared" si="1"/>
        <v>x</v>
      </c>
      <c r="Y21">
        <f>Q21+S21/1000</f>
        <v>47.018000000000001</v>
      </c>
      <c r="Z21" s="23"/>
      <c r="AC21" s="23"/>
      <c r="AD21" s="23"/>
    </row>
    <row r="22" spans="1:37" ht="18.75" x14ac:dyDescent="0.3">
      <c r="A22" s="11"/>
      <c r="B22" s="51"/>
      <c r="C22" s="51"/>
      <c r="D22" s="9"/>
      <c r="E22" s="5"/>
      <c r="F22" s="5"/>
      <c r="G22" s="51"/>
      <c r="I22" s="5"/>
      <c r="J22" s="27"/>
      <c r="L22" s="11" t="s">
        <v>32</v>
      </c>
      <c r="M22" s="51">
        <f>81+T14</f>
        <v>84</v>
      </c>
      <c r="N22" s="51" t="s">
        <v>62</v>
      </c>
      <c r="O22" s="51">
        <v>6</v>
      </c>
      <c r="P22" s="51" t="s">
        <v>63</v>
      </c>
      <c r="Q22" s="23">
        <v>0</v>
      </c>
      <c r="R22" s="51" t="s">
        <v>64</v>
      </c>
      <c r="S22" s="23">
        <v>0</v>
      </c>
      <c r="T22" s="51" t="s">
        <v>65</v>
      </c>
      <c r="U22" s="24" t="s">
        <v>24</v>
      </c>
      <c r="V22" s="50"/>
      <c r="W22" s="51" t="s">
        <v>62</v>
      </c>
      <c r="X22" s="38" t="str">
        <f t="shared" si="1"/>
        <v>x</v>
      </c>
      <c r="Y22">
        <f>M22+O22/1000</f>
        <v>84.006</v>
      </c>
      <c r="Z22" s="23"/>
      <c r="AC22" s="23"/>
      <c r="AD22" s="23"/>
    </row>
    <row r="23" spans="1:37" ht="18.75" x14ac:dyDescent="0.3">
      <c r="A23" s="16"/>
      <c r="B23" s="17"/>
      <c r="C23" s="17"/>
      <c r="D23" s="18"/>
      <c r="E23" s="21"/>
      <c r="F23" s="21"/>
      <c r="G23" s="17"/>
      <c r="H23" s="22"/>
      <c r="I23" s="21"/>
      <c r="J23" s="27"/>
      <c r="L23" s="11" t="s">
        <v>33</v>
      </c>
      <c r="M23" s="51">
        <v>62</v>
      </c>
      <c r="N23" s="51" t="s">
        <v>62</v>
      </c>
      <c r="O23" s="51">
        <v>0</v>
      </c>
      <c r="P23" s="51" t="s">
        <v>63</v>
      </c>
      <c r="Q23" s="23">
        <f>14+T14</f>
        <v>17</v>
      </c>
      <c r="R23" s="51" t="s">
        <v>64</v>
      </c>
      <c r="S23" s="23">
        <v>66</v>
      </c>
      <c r="T23" s="51" t="s">
        <v>65</v>
      </c>
      <c r="U23" s="24" t="s">
        <v>24</v>
      </c>
      <c r="V23" s="50"/>
      <c r="W23" s="51" t="s">
        <v>65</v>
      </c>
      <c r="X23" s="38" t="str">
        <f t="shared" si="1"/>
        <v>x</v>
      </c>
      <c r="Y23">
        <f>M23*1000000000+O23*1000000+Q23*1000+S23</f>
        <v>62000017066</v>
      </c>
      <c r="Z23" s="23"/>
      <c r="AC23" s="23"/>
      <c r="AD23" s="23"/>
    </row>
    <row r="24" spans="1:37" ht="18.75" x14ac:dyDescent="0.3">
      <c r="A24" s="14"/>
      <c r="B24" s="15"/>
      <c r="C24" s="15"/>
      <c r="D24" s="20"/>
      <c r="E24" s="15"/>
      <c r="F24" s="15"/>
      <c r="G24" s="13"/>
      <c r="H24" s="5"/>
      <c r="I24" s="5"/>
      <c r="J24" s="27"/>
      <c r="K24" s="14"/>
      <c r="L24" s="21"/>
      <c r="M24" s="21"/>
      <c r="N24" s="21"/>
      <c r="O24" s="21"/>
      <c r="P24" s="21"/>
      <c r="Q24" s="21"/>
      <c r="R24" s="21"/>
      <c r="S24" s="21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</row>
    <row r="25" spans="1:37" ht="18.75" x14ac:dyDescent="0.3">
      <c r="A25" s="14" t="s">
        <v>16</v>
      </c>
      <c r="B25" s="15">
        <f>$G$14+24556445</f>
        <v>24556512</v>
      </c>
      <c r="C25" s="51" t="s">
        <v>64</v>
      </c>
      <c r="D25" s="20" t="s">
        <v>24</v>
      </c>
      <c r="E25" s="90"/>
      <c r="F25" s="90"/>
      <c r="G25" s="51" t="s">
        <v>62</v>
      </c>
      <c r="H25">
        <f>B25/1000000</f>
        <v>24.556512000000001</v>
      </c>
      <c r="I25" s="38" t="str">
        <f t="shared" ref="I25:I30" si="2">IF(E25="","x",IF(E25=H25,"richtig","falsch"))</f>
        <v>x</v>
      </c>
      <c r="J25" s="27"/>
      <c r="K25" s="14"/>
      <c r="L25" s="5"/>
      <c r="M25" s="5"/>
      <c r="N25" s="5"/>
      <c r="O25" s="5"/>
      <c r="P25" s="5"/>
      <c r="Q25" s="5"/>
      <c r="R25" s="5"/>
      <c r="S25" s="5"/>
      <c r="AK25" s="51"/>
    </row>
    <row r="26" spans="1:37" ht="18.75" x14ac:dyDescent="0.3">
      <c r="A26" s="11" t="s">
        <v>17</v>
      </c>
      <c r="B26" s="51">
        <f>$G$14+66</f>
        <v>133</v>
      </c>
      <c r="C26" s="51" t="s">
        <v>63</v>
      </c>
      <c r="D26" s="9" t="s">
        <v>24</v>
      </c>
      <c r="E26" s="90"/>
      <c r="F26" s="90"/>
      <c r="G26" s="51" t="s">
        <v>62</v>
      </c>
      <c r="H26">
        <f>B26/1000</f>
        <v>0.13300000000000001</v>
      </c>
      <c r="I26" s="38" t="str">
        <f t="shared" si="2"/>
        <v>x</v>
      </c>
      <c r="J26" s="27"/>
      <c r="L26" s="11" t="s">
        <v>34</v>
      </c>
      <c r="M26" s="91">
        <f>24.3221+T14</f>
        <v>27.322099999999999</v>
      </c>
      <c r="N26" s="91"/>
      <c r="O26" s="51" t="s">
        <v>63</v>
      </c>
      <c r="P26" s="9" t="s">
        <v>24</v>
      </c>
      <c r="Q26" s="50"/>
      <c r="R26" s="51" t="s">
        <v>62</v>
      </c>
      <c r="S26" s="37"/>
      <c r="T26" s="51" t="s">
        <v>63</v>
      </c>
      <c r="U26" s="50"/>
      <c r="V26" s="51" t="s">
        <v>64</v>
      </c>
      <c r="W26" s="37"/>
      <c r="X26" s="51" t="s">
        <v>65</v>
      </c>
    </row>
    <row r="27" spans="1:37" ht="18.75" x14ac:dyDescent="0.3">
      <c r="A27" s="11" t="s">
        <v>18</v>
      </c>
      <c r="B27" s="51">
        <f>$G$14+1540</f>
        <v>1607</v>
      </c>
      <c r="C27" s="51" t="s">
        <v>65</v>
      </c>
      <c r="D27" s="9" t="s">
        <v>24</v>
      </c>
      <c r="E27" s="90"/>
      <c r="F27" s="90"/>
      <c r="G27" s="51" t="s">
        <v>64</v>
      </c>
      <c r="H27">
        <f>B27/1000</f>
        <v>1.607</v>
      </c>
      <c r="I27" s="38" t="str">
        <f t="shared" si="2"/>
        <v>x</v>
      </c>
      <c r="J27" s="27"/>
      <c r="L27" s="11" t="s">
        <v>35</v>
      </c>
      <c r="M27" s="91">
        <f>4.99+T14</f>
        <v>7.99</v>
      </c>
      <c r="N27" s="91"/>
      <c r="O27" s="51" t="s">
        <v>62</v>
      </c>
      <c r="P27" s="9" t="s">
        <v>24</v>
      </c>
      <c r="Q27" s="50"/>
      <c r="R27" s="51" t="s">
        <v>62</v>
      </c>
      <c r="S27" s="50"/>
      <c r="T27" s="51" t="s">
        <v>63</v>
      </c>
      <c r="U27" s="50"/>
      <c r="V27" s="51" t="s">
        <v>64</v>
      </c>
      <c r="W27" s="50"/>
      <c r="X27" s="51" t="s">
        <v>65</v>
      </c>
    </row>
    <row r="28" spans="1:37" ht="18.75" x14ac:dyDescent="0.3">
      <c r="A28" s="11" t="s">
        <v>19</v>
      </c>
      <c r="B28" s="40">
        <f>$G$14+2300002311</f>
        <v>2300002378</v>
      </c>
      <c r="C28" s="51" t="s">
        <v>65</v>
      </c>
      <c r="D28" s="9" t="s">
        <v>24</v>
      </c>
      <c r="E28" s="90"/>
      <c r="F28" s="90"/>
      <c r="G28" s="51" t="s">
        <v>62</v>
      </c>
      <c r="H28">
        <f>B28/1000000000</f>
        <v>2.3000023779999998</v>
      </c>
      <c r="I28" s="38" t="str">
        <f t="shared" si="2"/>
        <v>x</v>
      </c>
      <c r="J28" s="27"/>
      <c r="L28" s="11" t="s">
        <v>36</v>
      </c>
      <c r="M28" s="91">
        <f>41.6+T14</f>
        <v>44.6</v>
      </c>
      <c r="N28" s="91"/>
      <c r="O28" s="51" t="s">
        <v>63</v>
      </c>
      <c r="P28" s="9" t="s">
        <v>24</v>
      </c>
      <c r="Q28" s="50"/>
      <c r="R28" s="51" t="s">
        <v>62</v>
      </c>
      <c r="S28" s="50"/>
      <c r="T28" s="51" t="s">
        <v>63</v>
      </c>
      <c r="U28" s="50"/>
      <c r="V28" s="51" t="s">
        <v>64</v>
      </c>
      <c r="W28" s="50"/>
      <c r="X28" s="51" t="s">
        <v>65</v>
      </c>
    </row>
    <row r="29" spans="1:37" ht="18.75" x14ac:dyDescent="0.3">
      <c r="A29" s="11" t="s">
        <v>20</v>
      </c>
      <c r="B29" s="51">
        <f>$G$14+188881</f>
        <v>188948</v>
      </c>
      <c r="C29" s="51" t="s">
        <v>64</v>
      </c>
      <c r="D29" s="9" t="s">
        <v>24</v>
      </c>
      <c r="E29" s="90"/>
      <c r="F29" s="90"/>
      <c r="G29" s="51" t="s">
        <v>63</v>
      </c>
      <c r="H29">
        <f>B29/1000</f>
        <v>188.94800000000001</v>
      </c>
      <c r="I29" s="38" t="str">
        <f t="shared" si="2"/>
        <v>x</v>
      </c>
      <c r="J29" s="27"/>
      <c r="L29" s="11" t="s">
        <v>37</v>
      </c>
      <c r="M29" s="91">
        <f>2362.8+T14</f>
        <v>2365.8000000000002</v>
      </c>
      <c r="N29" s="91"/>
      <c r="O29" s="51" t="s">
        <v>64</v>
      </c>
      <c r="P29" s="9" t="s">
        <v>24</v>
      </c>
      <c r="Q29" s="50"/>
      <c r="R29" s="51" t="s">
        <v>62</v>
      </c>
      <c r="S29" s="50"/>
      <c r="T29" s="51" t="s">
        <v>63</v>
      </c>
      <c r="U29" s="50"/>
      <c r="V29" s="51" t="s">
        <v>64</v>
      </c>
      <c r="W29" s="50"/>
      <c r="X29" s="51" t="s">
        <v>65</v>
      </c>
    </row>
    <row r="30" spans="1:37" ht="18.75" x14ac:dyDescent="0.3">
      <c r="A30" s="11" t="s">
        <v>21</v>
      </c>
      <c r="B30" s="51">
        <f>$G$14+7643678</f>
        <v>7643745</v>
      </c>
      <c r="C30" s="51" t="s">
        <v>65</v>
      </c>
      <c r="D30" s="9" t="s">
        <v>24</v>
      </c>
      <c r="E30" s="90"/>
      <c r="F30" s="90"/>
      <c r="G30" s="51" t="s">
        <v>63</v>
      </c>
      <c r="H30">
        <f>B30/1000000</f>
        <v>7.643745</v>
      </c>
      <c r="I30" s="38" t="str">
        <f t="shared" si="2"/>
        <v>x</v>
      </c>
      <c r="J30" s="27"/>
      <c r="L30" s="11" t="s">
        <v>38</v>
      </c>
      <c r="M30" s="91">
        <f>9452+T14</f>
        <v>9455</v>
      </c>
      <c r="N30" s="91"/>
      <c r="O30" s="51" t="s">
        <v>65</v>
      </c>
      <c r="P30" s="9" t="s">
        <v>24</v>
      </c>
      <c r="Q30" s="50"/>
      <c r="R30" s="51" t="s">
        <v>62</v>
      </c>
      <c r="S30" s="50"/>
      <c r="T30" s="51" t="s">
        <v>63</v>
      </c>
      <c r="U30" s="50"/>
      <c r="V30" s="51" t="s">
        <v>64</v>
      </c>
      <c r="W30" s="50"/>
      <c r="X30" s="51" t="s">
        <v>65</v>
      </c>
    </row>
    <row r="31" spans="1:37" ht="18.75" x14ac:dyDescent="0.3">
      <c r="J31" s="27"/>
      <c r="L31" s="11" t="s">
        <v>39</v>
      </c>
      <c r="M31" s="91">
        <f>0.87+T14</f>
        <v>3.87</v>
      </c>
      <c r="N31" s="91"/>
      <c r="O31" s="51" t="s">
        <v>62</v>
      </c>
      <c r="P31" s="9" t="s">
        <v>24</v>
      </c>
      <c r="Q31" s="50"/>
      <c r="R31" s="51" t="s">
        <v>62</v>
      </c>
      <c r="S31" s="50"/>
      <c r="T31" s="51" t="s">
        <v>63</v>
      </c>
      <c r="U31" s="50"/>
      <c r="V31" s="51" t="s">
        <v>64</v>
      </c>
      <c r="W31" s="50"/>
      <c r="X31" s="51" t="s">
        <v>65</v>
      </c>
    </row>
    <row r="32" spans="1:37" ht="18.75" x14ac:dyDescent="0.3">
      <c r="A32" s="11"/>
      <c r="B32" s="51"/>
      <c r="C32" s="51"/>
      <c r="D32" s="9"/>
      <c r="E32" s="5"/>
      <c r="F32" s="5"/>
      <c r="G32" s="51"/>
      <c r="I32" s="5"/>
      <c r="J32" s="27"/>
      <c r="L32" s="11" t="s">
        <v>40</v>
      </c>
      <c r="M32" s="91">
        <f>243.678+T14</f>
        <v>246.678</v>
      </c>
      <c r="N32" s="91"/>
      <c r="O32" s="51" t="s">
        <v>65</v>
      </c>
      <c r="P32" s="9" t="s">
        <v>24</v>
      </c>
      <c r="Q32" s="50"/>
      <c r="R32" s="51" t="s">
        <v>62</v>
      </c>
      <c r="S32" s="50"/>
      <c r="T32" s="51" t="s">
        <v>63</v>
      </c>
      <c r="U32" s="50"/>
      <c r="V32" s="51" t="s">
        <v>64</v>
      </c>
      <c r="W32" s="50"/>
      <c r="X32" s="51" t="s">
        <v>65</v>
      </c>
    </row>
    <row r="33" spans="1:29" ht="18.75" x14ac:dyDescent="0.3">
      <c r="A33" s="11"/>
      <c r="B33" s="51"/>
      <c r="C33" s="51"/>
      <c r="D33" s="9"/>
      <c r="E33" s="5"/>
      <c r="F33" s="5"/>
      <c r="G33" s="51"/>
      <c r="I33" s="5"/>
      <c r="J33" s="27"/>
      <c r="L33" s="11" t="s">
        <v>41</v>
      </c>
      <c r="M33" s="91">
        <f>82.9+T14</f>
        <v>85.9</v>
      </c>
      <c r="N33" s="91"/>
      <c r="O33" s="51" t="s">
        <v>64</v>
      </c>
      <c r="P33" s="9" t="s">
        <v>24</v>
      </c>
      <c r="Q33" s="50"/>
      <c r="R33" s="51" t="s">
        <v>62</v>
      </c>
      <c r="S33" s="50"/>
      <c r="T33" s="51" t="s">
        <v>63</v>
      </c>
      <c r="U33" s="50"/>
      <c r="V33" s="51" t="s">
        <v>64</v>
      </c>
      <c r="W33" s="50"/>
      <c r="X33" s="51" t="s">
        <v>65</v>
      </c>
    </row>
    <row r="34" spans="1:29" ht="18.75" x14ac:dyDescent="0.3">
      <c r="A34" s="11"/>
      <c r="B34" s="51"/>
      <c r="C34" s="51"/>
      <c r="D34" s="51"/>
      <c r="E34" s="51"/>
      <c r="F34" s="51"/>
      <c r="G34" s="5"/>
      <c r="H34" s="5"/>
      <c r="I34" s="5"/>
      <c r="J34" s="5"/>
      <c r="L34" s="5"/>
      <c r="M34" s="93" t="s">
        <v>44</v>
      </c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42"/>
      <c r="Y34" s="42"/>
      <c r="Z34" s="42"/>
      <c r="AA34" s="42"/>
      <c r="AB34" s="42"/>
      <c r="AC34" s="42"/>
    </row>
    <row r="35" spans="1:29" ht="15.75" x14ac:dyDescent="0.25">
      <c r="A35" s="5"/>
      <c r="B35" s="5"/>
      <c r="C35" s="5"/>
      <c r="D35" s="5"/>
      <c r="E35" s="5"/>
      <c r="F35" s="5"/>
      <c r="G35" s="5"/>
      <c r="I35" s="5"/>
      <c r="J35" s="5"/>
      <c r="L35" s="5"/>
      <c r="M35" s="5"/>
      <c r="N35" s="32"/>
      <c r="O35" s="32"/>
    </row>
    <row r="36" spans="1:29" ht="18.75" x14ac:dyDescent="0.3">
      <c r="A36" s="10"/>
      <c r="B36" s="4"/>
      <c r="C36" s="4"/>
      <c r="D36" s="4"/>
      <c r="E36" s="4"/>
      <c r="F36" s="5"/>
      <c r="G36" s="5"/>
      <c r="H36" s="5"/>
      <c r="I36" s="5"/>
      <c r="J36" s="5"/>
      <c r="L36" s="5"/>
      <c r="M36" s="5"/>
      <c r="N36" s="5"/>
    </row>
    <row r="37" spans="1:29" ht="18.75" x14ac:dyDescent="0.3">
      <c r="A37" s="10"/>
      <c r="B37" s="5"/>
      <c r="C37" s="5"/>
      <c r="D37" s="5"/>
      <c r="E37" s="5"/>
      <c r="F37" s="5"/>
      <c r="G37" s="5"/>
      <c r="H37" s="5"/>
      <c r="I37" s="5"/>
      <c r="J37" s="5"/>
      <c r="L37" s="5"/>
      <c r="M37" s="5"/>
      <c r="N37" s="5"/>
    </row>
    <row r="38" spans="1:29" ht="15.75" x14ac:dyDescent="0.25">
      <c r="B38" s="5"/>
      <c r="C38" s="5"/>
      <c r="D38" s="5"/>
      <c r="E38" s="5"/>
      <c r="F38" s="5"/>
      <c r="G38" s="5"/>
      <c r="H38" s="5"/>
      <c r="I38" s="5"/>
      <c r="J38" s="5"/>
      <c r="L38" s="5"/>
      <c r="M38" s="5"/>
      <c r="N38" s="5"/>
    </row>
    <row r="39" spans="1:29" ht="18.75" x14ac:dyDescent="0.3">
      <c r="A39" s="11"/>
    </row>
    <row r="40" spans="1:29" ht="18.75" x14ac:dyDescent="0.3">
      <c r="A40" s="11"/>
    </row>
    <row r="41" spans="1:29" ht="18.75" x14ac:dyDescent="0.3">
      <c r="A41" s="11"/>
      <c r="P41" s="5"/>
      <c r="Q41" s="5"/>
      <c r="R41" s="5"/>
      <c r="S41" s="5"/>
    </row>
    <row r="42" spans="1:29" ht="18.75" x14ac:dyDescent="0.3">
      <c r="A42" s="11"/>
      <c r="P42" s="5"/>
      <c r="Q42" s="5"/>
      <c r="R42" s="5"/>
      <c r="S42" s="5"/>
    </row>
    <row r="43" spans="1:29" ht="18.75" x14ac:dyDescent="0.3">
      <c r="A43" s="11"/>
      <c r="P43" s="5"/>
      <c r="Q43" s="5"/>
      <c r="R43" s="5"/>
      <c r="S43" s="5"/>
    </row>
    <row r="44" spans="1:29" ht="18.75" x14ac:dyDescent="0.3">
      <c r="A44" s="11"/>
      <c r="P44" s="5"/>
      <c r="Q44" s="5"/>
      <c r="R44" s="5"/>
      <c r="S44" s="5"/>
    </row>
    <row r="45" spans="1:29" ht="18.75" x14ac:dyDescent="0.3">
      <c r="A45" s="11"/>
      <c r="P45" s="5"/>
      <c r="Q45" s="5"/>
      <c r="R45" s="5"/>
      <c r="S45" s="5"/>
    </row>
    <row r="46" spans="1:29" ht="18.75" x14ac:dyDescent="0.3">
      <c r="A46" s="11"/>
      <c r="P46" s="5"/>
      <c r="Q46" s="5"/>
      <c r="R46" s="5"/>
      <c r="S46" s="5"/>
    </row>
    <row r="47" spans="1:29" ht="15.75" x14ac:dyDescent="0.25">
      <c r="P47" s="5"/>
      <c r="Q47" s="5"/>
      <c r="R47" s="5"/>
      <c r="S47" s="5"/>
    </row>
    <row r="48" spans="1:29" ht="15.75" x14ac:dyDescent="0.25">
      <c r="P48" s="5"/>
      <c r="Q48" s="5"/>
      <c r="R48" s="5"/>
      <c r="S48" s="5"/>
    </row>
    <row r="49" spans="1:19" ht="18.75" x14ac:dyDescent="0.3">
      <c r="A49" s="14"/>
      <c r="B49" s="5"/>
      <c r="C49" s="5"/>
      <c r="E49" s="5"/>
      <c r="G49" s="5"/>
      <c r="J49" s="5"/>
      <c r="L49" s="5"/>
      <c r="M49" s="5"/>
      <c r="O49" s="5"/>
      <c r="P49" s="5"/>
      <c r="Q49" s="5"/>
      <c r="R49" s="5"/>
      <c r="S49" s="5"/>
    </row>
    <row r="50" spans="1:19" ht="18.75" x14ac:dyDescent="0.3">
      <c r="A50" s="11"/>
      <c r="B50" s="5"/>
      <c r="C50" s="5"/>
      <c r="E50" s="5"/>
      <c r="G50" s="5"/>
      <c r="J50" s="5"/>
      <c r="L50" s="5"/>
      <c r="M50" s="5"/>
      <c r="O50" s="5"/>
      <c r="P50" s="5"/>
      <c r="Q50" s="5"/>
      <c r="R50" s="5"/>
      <c r="S50" s="5"/>
    </row>
    <row r="51" spans="1:19" ht="18.75" x14ac:dyDescent="0.3">
      <c r="A51" s="11"/>
      <c r="B51" s="5"/>
      <c r="C51" s="5"/>
      <c r="E51" s="5"/>
      <c r="G51" s="5"/>
      <c r="J51" s="5"/>
      <c r="L51" s="5"/>
      <c r="M51" s="5"/>
      <c r="O51" s="5"/>
      <c r="P51" s="5"/>
      <c r="Q51" s="5"/>
      <c r="R51" s="5"/>
      <c r="S51" s="5"/>
    </row>
    <row r="52" spans="1:19" ht="18.75" x14ac:dyDescent="0.3">
      <c r="A52" s="11"/>
      <c r="B52" s="5"/>
      <c r="C52" s="5"/>
      <c r="E52" s="5"/>
      <c r="G52" s="5"/>
      <c r="J52" s="5"/>
      <c r="L52" s="5"/>
      <c r="M52" s="5"/>
      <c r="O52" s="5"/>
      <c r="P52" s="5"/>
      <c r="Q52" s="5"/>
      <c r="R52" s="5"/>
      <c r="S52" s="5"/>
    </row>
    <row r="53" spans="1:19" ht="18.75" x14ac:dyDescent="0.3">
      <c r="A53" s="11"/>
      <c r="B53" s="5"/>
      <c r="C53" s="5"/>
      <c r="E53" s="5"/>
      <c r="G53" s="5"/>
      <c r="J53" s="5"/>
      <c r="L53" s="5"/>
      <c r="M53" s="5"/>
      <c r="O53" s="5"/>
      <c r="P53" s="5"/>
      <c r="Q53" s="5"/>
      <c r="R53" s="5"/>
      <c r="S53" s="5"/>
    </row>
    <row r="54" spans="1:19" ht="18.75" x14ac:dyDescent="0.3">
      <c r="A54" s="11"/>
      <c r="B54" s="5"/>
      <c r="C54" s="5"/>
      <c r="E54" s="5"/>
      <c r="G54" s="5"/>
      <c r="J54" s="5"/>
      <c r="L54" s="5"/>
      <c r="M54" s="5"/>
      <c r="O54" s="5"/>
      <c r="P54" s="5"/>
      <c r="Q54" s="5"/>
      <c r="R54" s="5"/>
      <c r="S54" s="5"/>
    </row>
    <row r="55" spans="1:19" ht="18.75" x14ac:dyDescent="0.3">
      <c r="A55" s="11"/>
      <c r="B55" s="5"/>
      <c r="C55" s="5"/>
      <c r="E55" s="5"/>
      <c r="G55" s="5"/>
      <c r="J55" s="5"/>
      <c r="L55" s="5"/>
      <c r="M55" s="5"/>
      <c r="O55" s="5"/>
      <c r="P55" s="5"/>
      <c r="Q55" s="5"/>
      <c r="R55" s="5"/>
      <c r="S55" s="5"/>
    </row>
    <row r="56" spans="1:19" ht="18.75" x14ac:dyDescent="0.3">
      <c r="A56" s="11"/>
      <c r="B56" s="5"/>
      <c r="C56" s="5"/>
      <c r="E56" s="5"/>
      <c r="G56" s="5"/>
      <c r="J56" s="5"/>
      <c r="L56" s="5"/>
      <c r="M56" s="5"/>
      <c r="O56" s="5"/>
      <c r="P56" s="5"/>
      <c r="Q56" s="5"/>
      <c r="R56" s="5"/>
      <c r="S56" s="5"/>
    </row>
    <row r="57" spans="1:19" ht="15.75" x14ac:dyDescent="0.25">
      <c r="A57" s="5"/>
      <c r="B57" s="5"/>
      <c r="C57" s="5"/>
      <c r="D57" s="5"/>
      <c r="E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</row>
    <row r="58" spans="1:19" ht="18.75" x14ac:dyDescent="0.3">
      <c r="A58" s="10"/>
      <c r="B58" s="4"/>
      <c r="C58" s="4"/>
      <c r="D58" s="4"/>
      <c r="E58" s="4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</row>
    <row r="59" spans="1:19" ht="15.75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</row>
    <row r="60" spans="1:19" ht="18.75" x14ac:dyDescent="0.3">
      <c r="A60" s="11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</row>
    <row r="61" spans="1:19" ht="18.75" x14ac:dyDescent="0.3">
      <c r="A61" s="11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spans="1:19" ht="18.75" x14ac:dyDescent="0.3">
      <c r="A62" s="11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spans="1:19" ht="18.75" x14ac:dyDescent="0.3">
      <c r="A63" s="11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1:19" ht="18.75" x14ac:dyDescent="0.3">
      <c r="A64" s="11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pans="1:19" ht="18.75" x14ac:dyDescent="0.3">
      <c r="A65" s="11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1:19" ht="18.75" x14ac:dyDescent="0.3">
      <c r="A66" s="11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spans="1:19" ht="18.75" x14ac:dyDescent="0.3">
      <c r="A67" s="11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1:19" ht="18.75" x14ac:dyDescent="0.3">
      <c r="A68" s="11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1:19" ht="18.75" x14ac:dyDescent="0.3">
      <c r="A69" s="11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spans="1:19" ht="18.75" x14ac:dyDescent="0.3">
      <c r="A70" s="11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1:19" ht="18.75" x14ac:dyDescent="0.3">
      <c r="A71" s="11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pans="1:19" ht="18.75" x14ac:dyDescent="0.3">
      <c r="A72" s="11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19" ht="18.75" x14ac:dyDescent="0.3">
      <c r="A73" s="11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1:19" ht="18.75" x14ac:dyDescent="0.3">
      <c r="A74" s="11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19" ht="18.75" x14ac:dyDescent="0.3">
      <c r="A75" s="11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pans="1:19" ht="18.75" x14ac:dyDescent="0.3">
      <c r="A76" s="11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1:19" ht="18.75" x14ac:dyDescent="0.3">
      <c r="A77" s="11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</sheetData>
  <sheetProtection password="C7EC" sheet="1" objects="1" scenarios="1"/>
  <mergeCells count="30">
    <mergeCell ref="A1:X2"/>
    <mergeCell ref="B4:G4"/>
    <mergeCell ref="P8:Q8"/>
    <mergeCell ref="T8:U8"/>
    <mergeCell ref="P9:Q9"/>
    <mergeCell ref="T9:U9"/>
    <mergeCell ref="M26:N26"/>
    <mergeCell ref="T10:U10"/>
    <mergeCell ref="A14:F14"/>
    <mergeCell ref="L14:S14"/>
    <mergeCell ref="E16:F16"/>
    <mergeCell ref="E17:F17"/>
    <mergeCell ref="E18:F18"/>
    <mergeCell ref="E19:F19"/>
    <mergeCell ref="E20:F20"/>
    <mergeCell ref="E21:F21"/>
    <mergeCell ref="E25:F25"/>
    <mergeCell ref="E26:F26"/>
    <mergeCell ref="M34:W34"/>
    <mergeCell ref="E27:F27"/>
    <mergeCell ref="M27:N27"/>
    <mergeCell ref="E28:F28"/>
    <mergeCell ref="M28:N28"/>
    <mergeCell ref="E29:F29"/>
    <mergeCell ref="M29:N29"/>
    <mergeCell ref="E30:F30"/>
    <mergeCell ref="M30:N30"/>
    <mergeCell ref="M31:N31"/>
    <mergeCell ref="M32:N32"/>
    <mergeCell ref="M33:N33"/>
  </mergeCells>
  <conditionalFormatting sqref="I16:I21 I25:I30">
    <cfRule type="containsText" dxfId="35" priority="4" operator="containsText" text="falsch">
      <formula>NOT(ISERROR(SEARCH("falsch",I16)))</formula>
    </cfRule>
    <cfRule type="containsText" dxfId="34" priority="5" operator="containsText" text="richtig">
      <formula>NOT(ISERROR(SEARCH("richtig",I16)))</formula>
    </cfRule>
    <cfRule type="containsText" dxfId="33" priority="6" operator="containsText" text="x">
      <formula>NOT(ISERROR(SEARCH("x",I16)))</formula>
    </cfRule>
  </conditionalFormatting>
  <conditionalFormatting sqref="X16:X23">
    <cfRule type="containsText" dxfId="32" priority="1" operator="containsText" text="falsch">
      <formula>NOT(ISERROR(SEARCH("falsch",X16)))</formula>
    </cfRule>
    <cfRule type="containsText" dxfId="31" priority="2" operator="containsText" text="richtig">
      <formula>NOT(ISERROR(SEARCH("richtig",X16)))</formula>
    </cfRule>
    <cfRule type="containsText" dxfId="30" priority="3" operator="containsText" text="x">
      <formula>NOT(ISERROR(SEARCH("x",X16)))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7"/>
  <sheetViews>
    <sheetView zoomScaleNormal="100" workbookViewId="0">
      <selection activeCell="K34" sqref="K34:U34"/>
    </sheetView>
  </sheetViews>
  <sheetFormatPr baseColWidth="10" defaultRowHeight="15" x14ac:dyDescent="0.25"/>
  <cols>
    <col min="1" max="1" width="5.140625" customWidth="1"/>
    <col min="2" max="2" width="12.42578125" bestFit="1" customWidth="1"/>
    <col min="3" max="3" width="5.140625" customWidth="1"/>
    <col min="4" max="4" width="5.5703125" customWidth="1"/>
    <col min="5" max="5" width="8.42578125" customWidth="1"/>
    <col min="6" max="6" width="6.85546875" customWidth="1"/>
    <col min="7" max="7" width="7" customWidth="1"/>
    <col min="8" max="8" width="6.140625" customWidth="1"/>
    <col min="9" max="9" width="9.28515625" customWidth="1"/>
    <col min="10" max="10" width="5.85546875" customWidth="1"/>
    <col min="11" max="11" width="7.5703125" customWidth="1"/>
    <col min="12" max="12" width="6" customWidth="1"/>
    <col min="13" max="13" width="6.7109375" customWidth="1"/>
    <col min="14" max="14" width="6" customWidth="1"/>
    <col min="15" max="16" width="6.140625" customWidth="1"/>
    <col min="17" max="17" width="6.7109375" customWidth="1"/>
    <col min="18" max="19" width="7.42578125" customWidth="1"/>
    <col min="20" max="20" width="14.140625" bestFit="1" customWidth="1"/>
    <col min="21" max="21" width="10.85546875" bestFit="1" customWidth="1"/>
    <col min="22" max="22" width="11.28515625" bestFit="1" customWidth="1"/>
    <col min="23" max="23" width="14.5703125" bestFit="1" customWidth="1"/>
    <col min="24" max="24" width="6.85546875" customWidth="1"/>
    <col min="25" max="25" width="7.140625" customWidth="1"/>
    <col min="26" max="28" width="5.28515625" customWidth="1"/>
    <col min="29" max="29" width="5.7109375" customWidth="1"/>
    <col min="30" max="32" width="10.7109375" customWidth="1"/>
    <col min="33" max="33" width="8.42578125" customWidth="1"/>
    <col min="34" max="34" width="11.42578125" customWidth="1"/>
  </cols>
  <sheetData>
    <row r="1" spans="1:33" ht="23.25" customHeight="1" x14ac:dyDescent="0.25">
      <c r="A1" s="86" t="s">
        <v>57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</row>
    <row r="2" spans="1:33" ht="15" customHeigh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</row>
    <row r="3" spans="1:33" ht="18.75" x14ac:dyDescent="0.3">
      <c r="A3" s="10" t="s">
        <v>7</v>
      </c>
      <c r="B3" s="4"/>
      <c r="C3" s="4"/>
      <c r="D3" s="4"/>
      <c r="E3" s="4"/>
      <c r="F3" s="4"/>
      <c r="G3" s="5"/>
    </row>
    <row r="4" spans="1:33" ht="15.75" x14ac:dyDescent="0.25">
      <c r="A4" s="5"/>
      <c r="B4" s="87" t="s">
        <v>42</v>
      </c>
      <c r="C4" s="87"/>
      <c r="D4" s="87"/>
      <c r="E4" s="87"/>
      <c r="F4" s="87"/>
      <c r="G4" s="87"/>
    </row>
    <row r="5" spans="1:33" ht="15.75" x14ac:dyDescent="0.25">
      <c r="A5" s="5"/>
      <c r="B5" s="26"/>
      <c r="C5" s="26"/>
      <c r="D5" s="26"/>
      <c r="E5" s="26"/>
      <c r="F5" s="26"/>
      <c r="G5" s="26"/>
    </row>
    <row r="6" spans="1:33" s="2" customFormat="1" ht="21" x14ac:dyDescent="0.3">
      <c r="A6" s="12" t="s">
        <v>58</v>
      </c>
      <c r="B6" s="6"/>
      <c r="C6" s="12" t="s">
        <v>59</v>
      </c>
      <c r="D6" s="6"/>
      <c r="E6" s="12" t="s">
        <v>60</v>
      </c>
      <c r="F6" s="6"/>
      <c r="G6" s="12" t="s">
        <v>61</v>
      </c>
    </row>
    <row r="7" spans="1:33" ht="15.75" customHeight="1" x14ac:dyDescent="0.25">
      <c r="A7" s="1"/>
      <c r="B7" s="1"/>
      <c r="C7" s="5"/>
      <c r="D7" s="1"/>
      <c r="E7" s="5"/>
      <c r="F7" s="1"/>
      <c r="G7" s="1"/>
      <c r="O7" s="5"/>
    </row>
    <row r="8" spans="1:33" ht="18" x14ac:dyDescent="0.25">
      <c r="A8" s="5"/>
      <c r="B8" s="52">
        <v>1000</v>
      </c>
      <c r="C8" s="5"/>
      <c r="D8" s="52">
        <v>1000</v>
      </c>
      <c r="E8" s="5"/>
      <c r="F8" s="52">
        <v>1000</v>
      </c>
      <c r="G8" s="5"/>
      <c r="I8" s="25" t="s">
        <v>69</v>
      </c>
      <c r="J8" s="9" t="s">
        <v>24</v>
      </c>
      <c r="K8" s="52">
        <v>1000</v>
      </c>
      <c r="L8" s="25" t="s">
        <v>63</v>
      </c>
      <c r="M8" s="9" t="s">
        <v>24</v>
      </c>
      <c r="N8" s="96">
        <v>1000000</v>
      </c>
      <c r="O8" s="96"/>
      <c r="P8" s="25" t="s">
        <v>64</v>
      </c>
      <c r="Q8" s="9" t="s">
        <v>24</v>
      </c>
      <c r="R8" s="96">
        <v>1000000000</v>
      </c>
      <c r="S8" s="96"/>
      <c r="T8" s="25" t="s">
        <v>65</v>
      </c>
    </row>
    <row r="9" spans="1:33" ht="18" x14ac:dyDescent="0.25">
      <c r="A9" s="5"/>
      <c r="B9" s="5"/>
      <c r="C9" s="5"/>
      <c r="D9" s="5"/>
      <c r="E9" s="5"/>
      <c r="F9" s="5"/>
      <c r="G9" s="5"/>
      <c r="H9" s="5"/>
      <c r="I9" s="25"/>
      <c r="J9" s="25"/>
      <c r="K9" s="25"/>
      <c r="L9" s="25" t="s">
        <v>70</v>
      </c>
      <c r="M9" s="9" t="s">
        <v>24</v>
      </c>
      <c r="N9" s="96">
        <v>1000</v>
      </c>
      <c r="O9" s="96"/>
      <c r="P9" s="25" t="s">
        <v>64</v>
      </c>
      <c r="Q9" s="9" t="s">
        <v>24</v>
      </c>
      <c r="R9" s="96">
        <v>1000000</v>
      </c>
      <c r="S9" s="96"/>
      <c r="T9" s="25" t="s">
        <v>65</v>
      </c>
    </row>
    <row r="10" spans="1:33" ht="18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5" t="s">
        <v>71</v>
      </c>
      <c r="Q10" s="9" t="s">
        <v>24</v>
      </c>
      <c r="R10" s="96">
        <v>1000</v>
      </c>
      <c r="S10" s="96"/>
      <c r="T10" s="25" t="s">
        <v>65</v>
      </c>
    </row>
    <row r="11" spans="1:33" ht="15.75" x14ac:dyDescent="0.25"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33" ht="18.75" x14ac:dyDescent="0.3">
      <c r="A12" s="10" t="s">
        <v>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33" ht="15.75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33" ht="15.75" x14ac:dyDescent="0.25">
      <c r="A14" s="88" t="s">
        <v>23</v>
      </c>
      <c r="B14" s="88"/>
      <c r="C14" s="88"/>
      <c r="D14" s="88"/>
      <c r="E14" s="88"/>
      <c r="F14" s="88"/>
      <c r="G14" s="34">
        <v>67</v>
      </c>
      <c r="H14" s="27"/>
      <c r="I14" s="5"/>
      <c r="J14" s="88" t="s">
        <v>43</v>
      </c>
      <c r="K14" s="88"/>
      <c r="L14" s="88"/>
      <c r="M14" s="88"/>
      <c r="N14" s="88"/>
      <c r="O14" s="88"/>
      <c r="P14" s="88"/>
      <c r="Q14" s="88"/>
      <c r="R14" s="34">
        <v>3</v>
      </c>
    </row>
    <row r="15" spans="1:33" ht="15.75" x14ac:dyDescent="0.25">
      <c r="A15" s="5"/>
      <c r="B15" s="5"/>
      <c r="C15" s="5"/>
      <c r="D15" s="5"/>
      <c r="E15" s="5"/>
      <c r="F15" s="5"/>
      <c r="G15" s="5"/>
      <c r="H15" s="27"/>
      <c r="I15" s="5"/>
      <c r="J15" s="5"/>
      <c r="K15" s="5"/>
      <c r="L15" s="5"/>
      <c r="M15" s="5"/>
      <c r="N15" s="5"/>
      <c r="O15" s="5"/>
      <c r="P15" s="5"/>
      <c r="Q15" s="5"/>
      <c r="R15" s="3"/>
      <c r="S15" s="3"/>
      <c r="V15" s="39"/>
    </row>
    <row r="16" spans="1:33" ht="18.75" x14ac:dyDescent="0.3">
      <c r="A16" s="11" t="s">
        <v>8</v>
      </c>
      <c r="B16" s="8">
        <f>$G$14+7.57</f>
        <v>74.569999999999993</v>
      </c>
      <c r="C16" s="8" t="s">
        <v>62</v>
      </c>
      <c r="D16" s="9" t="s">
        <v>24</v>
      </c>
      <c r="E16" s="97">
        <f>B16*1000</f>
        <v>74570</v>
      </c>
      <c r="F16" s="97"/>
      <c r="G16" s="8" t="s">
        <v>63</v>
      </c>
      <c r="H16" s="27"/>
      <c r="J16" s="11" t="s">
        <v>26</v>
      </c>
      <c r="K16" s="23">
        <v>0</v>
      </c>
      <c r="L16" s="8" t="s">
        <v>62</v>
      </c>
      <c r="M16" s="23">
        <f>2+R14</f>
        <v>5</v>
      </c>
      <c r="N16" s="8" t="s">
        <v>63</v>
      </c>
      <c r="O16" s="23">
        <v>78</v>
      </c>
      <c r="P16" s="8" t="s">
        <v>64</v>
      </c>
      <c r="Q16" s="23">
        <v>35</v>
      </c>
      <c r="R16" s="8" t="s">
        <v>65</v>
      </c>
      <c r="S16" s="24" t="s">
        <v>24</v>
      </c>
      <c r="T16" s="62">
        <f>M16+O16/1000+Q16/1000000</f>
        <v>5.0780349999999999</v>
      </c>
      <c r="U16" s="8" t="s">
        <v>63</v>
      </c>
      <c r="X16" s="23"/>
      <c r="AA16" s="23"/>
      <c r="AB16" s="23"/>
    </row>
    <row r="17" spans="1:35" ht="18.75" x14ac:dyDescent="0.3">
      <c r="A17" s="11" t="s">
        <v>9</v>
      </c>
      <c r="B17" s="8">
        <f>$G$14+87.83</f>
        <v>154.82999999999998</v>
      </c>
      <c r="C17" s="8" t="s">
        <v>63</v>
      </c>
      <c r="D17" s="9" t="s">
        <v>24</v>
      </c>
      <c r="E17" s="98">
        <f>B17*1000000</f>
        <v>154829999.99999997</v>
      </c>
      <c r="F17" s="98"/>
      <c r="G17" s="8" t="s">
        <v>65</v>
      </c>
      <c r="H17" s="27"/>
      <c r="J17" s="11" t="s">
        <v>27</v>
      </c>
      <c r="K17" s="8">
        <v>2</v>
      </c>
      <c r="L17" s="8" t="s">
        <v>62</v>
      </c>
      <c r="M17" s="8">
        <v>9</v>
      </c>
      <c r="N17" s="8" t="s">
        <v>63</v>
      </c>
      <c r="O17" s="23">
        <f>11+R14</f>
        <v>14</v>
      </c>
      <c r="P17" s="8" t="s">
        <v>64</v>
      </c>
      <c r="Q17" s="23">
        <v>26</v>
      </c>
      <c r="R17" s="8" t="s">
        <v>65</v>
      </c>
      <c r="S17" s="24" t="s">
        <v>24</v>
      </c>
      <c r="T17" s="62">
        <f>K17+M17/1000+O17/1000000+Q17/1000000000</f>
        <v>2.009014026</v>
      </c>
      <c r="U17" s="8" t="s">
        <v>62</v>
      </c>
      <c r="X17" s="23"/>
      <c r="AA17" s="23"/>
      <c r="AB17" s="23"/>
    </row>
    <row r="18" spans="1:35" ht="18.75" x14ac:dyDescent="0.3">
      <c r="A18" s="11" t="s">
        <v>10</v>
      </c>
      <c r="B18" s="8">
        <f>$G$14+36.4</f>
        <v>103.4</v>
      </c>
      <c r="C18" s="8" t="s">
        <v>64</v>
      </c>
      <c r="D18" s="9" t="s">
        <v>24</v>
      </c>
      <c r="E18" s="98">
        <f>B18*1000</f>
        <v>103400</v>
      </c>
      <c r="F18" s="98"/>
      <c r="G18" s="8" t="s">
        <v>65</v>
      </c>
      <c r="H18" s="27"/>
      <c r="J18" s="11" t="s">
        <v>28</v>
      </c>
      <c r="K18" s="8">
        <v>2</v>
      </c>
      <c r="L18" s="8" t="s">
        <v>62</v>
      </c>
      <c r="M18" s="8">
        <v>17</v>
      </c>
      <c r="N18" s="8" t="s">
        <v>63</v>
      </c>
      <c r="O18" s="23">
        <f>1+R14</f>
        <v>4</v>
      </c>
      <c r="P18" s="8" t="s">
        <v>64</v>
      </c>
      <c r="Q18" s="23">
        <v>9</v>
      </c>
      <c r="R18" s="8" t="s">
        <v>65</v>
      </c>
      <c r="S18" s="24" t="s">
        <v>24</v>
      </c>
      <c r="T18" s="62">
        <f>K18*1000000+M18*1000+O18+Q18/1000</f>
        <v>2017004.0090000001</v>
      </c>
      <c r="U18" s="8" t="s">
        <v>64</v>
      </c>
      <c r="X18" s="23"/>
      <c r="AA18" s="23"/>
      <c r="AB18" s="23"/>
    </row>
    <row r="19" spans="1:35" ht="18.75" x14ac:dyDescent="0.3">
      <c r="A19" s="11" t="s">
        <v>11</v>
      </c>
      <c r="B19" s="8">
        <f>$G$14+6.95</f>
        <v>73.95</v>
      </c>
      <c r="C19" s="8" t="s">
        <v>62</v>
      </c>
      <c r="D19" s="9" t="s">
        <v>24</v>
      </c>
      <c r="E19" s="98">
        <f>B19*1000000000</f>
        <v>73950000000</v>
      </c>
      <c r="F19" s="98"/>
      <c r="G19" s="8" t="s">
        <v>65</v>
      </c>
      <c r="H19" s="27"/>
      <c r="I19" s="8"/>
      <c r="J19" s="11" t="s">
        <v>29</v>
      </c>
      <c r="K19" s="8">
        <v>0</v>
      </c>
      <c r="L19" s="8" t="s">
        <v>62</v>
      </c>
      <c r="M19" s="8">
        <v>3</v>
      </c>
      <c r="N19" s="8" t="s">
        <v>63</v>
      </c>
      <c r="O19" s="23">
        <v>50</v>
      </c>
      <c r="P19" s="8" t="s">
        <v>64</v>
      </c>
      <c r="Q19" s="23">
        <f>2+R14</f>
        <v>5</v>
      </c>
      <c r="R19" s="8" t="s">
        <v>65</v>
      </c>
      <c r="S19" s="24" t="s">
        <v>24</v>
      </c>
      <c r="T19" s="62">
        <f>M19*1000000+O19*1000+Q19</f>
        <v>3050005</v>
      </c>
      <c r="U19" s="8" t="s">
        <v>65</v>
      </c>
      <c r="X19" s="23"/>
      <c r="AA19" s="23"/>
      <c r="AB19" s="23"/>
    </row>
    <row r="20" spans="1:35" ht="18.75" x14ac:dyDescent="0.3">
      <c r="A20" s="11" t="s">
        <v>12</v>
      </c>
      <c r="B20" s="8">
        <f>$G$14+3.4279</f>
        <v>70.427899999999994</v>
      </c>
      <c r="C20" s="8" t="s">
        <v>62</v>
      </c>
      <c r="D20" s="9" t="s">
        <v>24</v>
      </c>
      <c r="E20" s="98">
        <f>B20*1000000</f>
        <v>70427900</v>
      </c>
      <c r="F20" s="98"/>
      <c r="G20" s="8" t="s">
        <v>64</v>
      </c>
      <c r="H20" s="27"/>
      <c r="J20" s="11" t="s">
        <v>30</v>
      </c>
      <c r="K20" s="8">
        <v>87</v>
      </c>
      <c r="L20" s="8" t="s">
        <v>62</v>
      </c>
      <c r="M20" s="8">
        <v>9</v>
      </c>
      <c r="N20" s="8" t="s">
        <v>63</v>
      </c>
      <c r="O20" s="23">
        <v>25</v>
      </c>
      <c r="P20" s="8" t="s">
        <v>64</v>
      </c>
      <c r="Q20" s="23">
        <v>73</v>
      </c>
      <c r="R20" s="8" t="s">
        <v>65</v>
      </c>
      <c r="S20" s="24" t="s">
        <v>24</v>
      </c>
      <c r="T20" s="62">
        <f>K20*1000+M20+O20/1000+Q20/1000000</f>
        <v>87009.025072999997</v>
      </c>
      <c r="U20" s="8" t="s">
        <v>63</v>
      </c>
      <c r="X20" s="23"/>
      <c r="AA20" s="23"/>
      <c r="AB20" s="23"/>
    </row>
    <row r="21" spans="1:35" ht="18.75" x14ac:dyDescent="0.3">
      <c r="A21" s="11" t="s">
        <v>13</v>
      </c>
      <c r="B21" s="8">
        <f>$G$14+436</f>
        <v>503</v>
      </c>
      <c r="C21" s="8" t="s">
        <v>63</v>
      </c>
      <c r="D21" s="9" t="s">
        <v>24</v>
      </c>
      <c r="E21" s="98">
        <f>B21*1000</f>
        <v>503000</v>
      </c>
      <c r="F21" s="98"/>
      <c r="G21" s="8" t="s">
        <v>64</v>
      </c>
      <c r="H21" s="27"/>
      <c r="J21" s="11" t="s">
        <v>31</v>
      </c>
      <c r="K21" s="8">
        <v>0</v>
      </c>
      <c r="L21" s="8" t="s">
        <v>62</v>
      </c>
      <c r="M21" s="8">
        <v>0</v>
      </c>
      <c r="N21" s="8" t="s">
        <v>63</v>
      </c>
      <c r="O21" s="23">
        <f>44+R14</f>
        <v>47</v>
      </c>
      <c r="P21" s="8" t="s">
        <v>64</v>
      </c>
      <c r="Q21" s="23">
        <v>18</v>
      </c>
      <c r="R21" s="8" t="s">
        <v>65</v>
      </c>
      <c r="S21" s="24" t="s">
        <v>24</v>
      </c>
      <c r="T21" s="62">
        <f>O21+Q21/1000</f>
        <v>47.018000000000001</v>
      </c>
      <c r="U21" s="8" t="s">
        <v>64</v>
      </c>
      <c r="X21" s="23"/>
      <c r="AA21" s="23"/>
      <c r="AB21" s="23"/>
    </row>
    <row r="22" spans="1:35" ht="18.75" x14ac:dyDescent="0.3">
      <c r="A22" s="11"/>
      <c r="B22" s="8"/>
      <c r="C22" s="8"/>
      <c r="D22" s="9"/>
      <c r="E22" s="5"/>
      <c r="F22" s="5"/>
      <c r="G22" s="8"/>
      <c r="H22" s="27"/>
      <c r="J22" s="11" t="s">
        <v>32</v>
      </c>
      <c r="K22" s="8">
        <f>81+R14</f>
        <v>84</v>
      </c>
      <c r="L22" s="8" t="s">
        <v>62</v>
      </c>
      <c r="M22" s="8">
        <v>6</v>
      </c>
      <c r="N22" s="8" t="s">
        <v>63</v>
      </c>
      <c r="O22" s="23">
        <v>0</v>
      </c>
      <c r="P22" s="8" t="s">
        <v>64</v>
      </c>
      <c r="Q22" s="23">
        <v>0</v>
      </c>
      <c r="R22" s="8" t="s">
        <v>65</v>
      </c>
      <c r="S22" s="24" t="s">
        <v>24</v>
      </c>
      <c r="T22" s="62">
        <f>K22+M22/1000</f>
        <v>84.006</v>
      </c>
      <c r="U22" s="8" t="s">
        <v>62</v>
      </c>
      <c r="X22" s="23"/>
      <c r="AA22" s="23"/>
      <c r="AB22" s="23"/>
    </row>
    <row r="23" spans="1:35" ht="18.75" x14ac:dyDescent="0.3">
      <c r="A23" s="16"/>
      <c r="B23" s="17"/>
      <c r="C23" s="17"/>
      <c r="D23" s="18"/>
      <c r="E23" s="21"/>
      <c r="F23" s="21"/>
      <c r="G23" s="17"/>
      <c r="H23" s="27"/>
      <c r="J23" s="11" t="s">
        <v>33</v>
      </c>
      <c r="K23" s="8">
        <v>62</v>
      </c>
      <c r="L23" s="8" t="s">
        <v>62</v>
      </c>
      <c r="M23" s="8">
        <v>0</v>
      </c>
      <c r="N23" s="8" t="s">
        <v>63</v>
      </c>
      <c r="O23" s="23">
        <f>14+R14</f>
        <v>17</v>
      </c>
      <c r="P23" s="8" t="s">
        <v>64</v>
      </c>
      <c r="Q23" s="23">
        <v>66</v>
      </c>
      <c r="R23" s="8" t="s">
        <v>65</v>
      </c>
      <c r="S23" s="24" t="s">
        <v>24</v>
      </c>
      <c r="T23" s="62">
        <f>K23*1000000000+M23*1000000+O23*1000+Q23</f>
        <v>62000017066</v>
      </c>
      <c r="U23" s="8" t="s">
        <v>65</v>
      </c>
      <c r="X23" s="23"/>
      <c r="AA23" s="23"/>
      <c r="AB23" s="23"/>
    </row>
    <row r="24" spans="1:35" ht="18.75" x14ac:dyDescent="0.3">
      <c r="A24" s="14"/>
      <c r="B24" s="15"/>
      <c r="C24" s="15"/>
      <c r="D24" s="20"/>
      <c r="E24" s="15"/>
      <c r="F24" s="15"/>
      <c r="G24" s="13"/>
      <c r="H24" s="27"/>
      <c r="I24" s="14"/>
      <c r="J24" s="21"/>
      <c r="K24" s="21"/>
      <c r="L24" s="21"/>
      <c r="M24" s="21"/>
      <c r="N24" s="21"/>
      <c r="O24" s="21"/>
      <c r="P24" s="21"/>
      <c r="Q24" s="21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</row>
    <row r="25" spans="1:35" ht="18.75" x14ac:dyDescent="0.3">
      <c r="A25" s="14" t="s">
        <v>16</v>
      </c>
      <c r="B25" s="15">
        <f>$G$14+24556445</f>
        <v>24556512</v>
      </c>
      <c r="C25" s="8" t="s">
        <v>64</v>
      </c>
      <c r="D25" s="20" t="s">
        <v>24</v>
      </c>
      <c r="E25" s="97">
        <f>B25/1000000</f>
        <v>24.556512000000001</v>
      </c>
      <c r="F25" s="97"/>
      <c r="G25" s="8" t="s">
        <v>62</v>
      </c>
      <c r="H25" s="27"/>
      <c r="I25" s="14"/>
      <c r="J25" s="5"/>
      <c r="K25" s="5"/>
      <c r="L25" s="5"/>
      <c r="M25" s="5"/>
      <c r="N25" s="5"/>
      <c r="O25" s="5"/>
      <c r="P25" s="5"/>
      <c r="Q25" s="5"/>
      <c r="AI25" s="8"/>
    </row>
    <row r="26" spans="1:35" ht="18.75" x14ac:dyDescent="0.3">
      <c r="A26" s="11" t="s">
        <v>17</v>
      </c>
      <c r="B26" s="8">
        <f>$G$14+66</f>
        <v>133</v>
      </c>
      <c r="C26" s="8" t="s">
        <v>63</v>
      </c>
      <c r="D26" s="9" t="s">
        <v>24</v>
      </c>
      <c r="E26" s="97">
        <f>B26/1000</f>
        <v>0.13300000000000001</v>
      </c>
      <c r="F26" s="97"/>
      <c r="G26" s="8" t="s">
        <v>62</v>
      </c>
      <c r="H26" s="27"/>
      <c r="J26" s="11" t="s">
        <v>34</v>
      </c>
      <c r="K26" s="91">
        <f>24.3221+R14</f>
        <v>27.322099999999999</v>
      </c>
      <c r="L26" s="91"/>
      <c r="M26" s="8" t="s">
        <v>63</v>
      </c>
      <c r="N26" s="9" t="s">
        <v>24</v>
      </c>
      <c r="O26" s="62">
        <v>0</v>
      </c>
      <c r="P26" s="8" t="s">
        <v>62</v>
      </c>
      <c r="Q26" s="63">
        <f>TRUNC(K26,0)</f>
        <v>27</v>
      </c>
      <c r="R26" s="8" t="s">
        <v>63</v>
      </c>
      <c r="S26" s="62">
        <f>TRUNC((K26-Q26)*1000,0)</f>
        <v>322</v>
      </c>
      <c r="T26" s="8" t="s">
        <v>64</v>
      </c>
      <c r="U26" s="63">
        <f>((K26-Q26)*1000-S26)*1000</f>
        <v>99.999999998942712</v>
      </c>
      <c r="V26" s="8" t="s">
        <v>65</v>
      </c>
    </row>
    <row r="27" spans="1:35" ht="18.75" x14ac:dyDescent="0.3">
      <c r="A27" s="11" t="s">
        <v>18</v>
      </c>
      <c r="B27" s="8">
        <f>$G$14+1540</f>
        <v>1607</v>
      </c>
      <c r="C27" s="8" t="s">
        <v>65</v>
      </c>
      <c r="D27" s="9" t="s">
        <v>24</v>
      </c>
      <c r="E27" s="97">
        <f>B27/1000</f>
        <v>1.607</v>
      </c>
      <c r="F27" s="97"/>
      <c r="G27" s="8" t="s">
        <v>64</v>
      </c>
      <c r="H27" s="27"/>
      <c r="J27" s="11" t="s">
        <v>35</v>
      </c>
      <c r="K27" s="91">
        <f>4.99+R14</f>
        <v>7.99</v>
      </c>
      <c r="L27" s="91"/>
      <c r="M27" s="8" t="s">
        <v>62</v>
      </c>
      <c r="N27" s="9" t="s">
        <v>24</v>
      </c>
      <c r="O27" s="62">
        <f>TRUNC(K27,0)</f>
        <v>7</v>
      </c>
      <c r="P27" s="8" t="s">
        <v>62</v>
      </c>
      <c r="Q27" s="62">
        <f>(K27-O27)*1000</f>
        <v>990.00000000000023</v>
      </c>
      <c r="R27" s="8" t="s">
        <v>63</v>
      </c>
      <c r="S27" s="62">
        <v>0</v>
      </c>
      <c r="T27" s="8" t="s">
        <v>64</v>
      </c>
      <c r="U27" s="62">
        <v>0</v>
      </c>
      <c r="V27" s="8" t="s">
        <v>65</v>
      </c>
    </row>
    <row r="28" spans="1:35" ht="18.75" x14ac:dyDescent="0.3">
      <c r="A28" s="11" t="s">
        <v>19</v>
      </c>
      <c r="B28" s="40">
        <f>$G$14+2300002311</f>
        <v>2300002378</v>
      </c>
      <c r="C28" s="8" t="s">
        <v>65</v>
      </c>
      <c r="D28" s="9" t="s">
        <v>24</v>
      </c>
      <c r="E28" s="97">
        <f>B28/1000000000</f>
        <v>2.3000023779999998</v>
      </c>
      <c r="F28" s="97"/>
      <c r="G28" s="8" t="s">
        <v>62</v>
      </c>
      <c r="H28" s="27"/>
      <c r="J28" s="11" t="s">
        <v>36</v>
      </c>
      <c r="K28" s="91">
        <f>41.6+R14</f>
        <v>44.6</v>
      </c>
      <c r="L28" s="91"/>
      <c r="M28" s="8" t="s">
        <v>63</v>
      </c>
      <c r="N28" s="9" t="s">
        <v>24</v>
      </c>
      <c r="O28" s="62">
        <v>0</v>
      </c>
      <c r="P28" s="8" t="s">
        <v>62</v>
      </c>
      <c r="Q28" s="62">
        <f>TRUNC(K28,0)</f>
        <v>44</v>
      </c>
      <c r="R28" s="8" t="s">
        <v>63</v>
      </c>
      <c r="S28" s="62">
        <f>(K28-Q28)*1000</f>
        <v>600.00000000000136</v>
      </c>
      <c r="T28" s="8" t="s">
        <v>64</v>
      </c>
      <c r="U28" s="62">
        <v>0</v>
      </c>
      <c r="V28" s="8" t="s">
        <v>65</v>
      </c>
    </row>
    <row r="29" spans="1:35" ht="18.75" x14ac:dyDescent="0.3">
      <c r="A29" s="11" t="s">
        <v>20</v>
      </c>
      <c r="B29" s="8">
        <f>$G$14+188881</f>
        <v>188948</v>
      </c>
      <c r="C29" s="8" t="s">
        <v>64</v>
      </c>
      <c r="D29" s="9" t="s">
        <v>24</v>
      </c>
      <c r="E29" s="97">
        <f>B29/1000</f>
        <v>188.94800000000001</v>
      </c>
      <c r="F29" s="97"/>
      <c r="G29" s="8" t="s">
        <v>63</v>
      </c>
      <c r="H29" s="27"/>
      <c r="J29" s="11" t="s">
        <v>37</v>
      </c>
      <c r="K29" s="91">
        <f>2362.8+R14</f>
        <v>2365.8000000000002</v>
      </c>
      <c r="L29" s="91"/>
      <c r="M29" s="8" t="s">
        <v>64</v>
      </c>
      <c r="N29" s="9" t="s">
        <v>24</v>
      </c>
      <c r="O29" s="62">
        <v>0</v>
      </c>
      <c r="P29" s="8" t="s">
        <v>62</v>
      </c>
      <c r="Q29" s="62">
        <f>TRUNC(K29/1000,0)</f>
        <v>2</v>
      </c>
      <c r="R29" s="8" t="s">
        <v>63</v>
      </c>
      <c r="S29" s="62">
        <f>TRUNC(K29-Q29*1000,0)</f>
        <v>365</v>
      </c>
      <c r="T29" s="8" t="s">
        <v>64</v>
      </c>
      <c r="U29" s="62">
        <f>((K29-Q29*1000)-S29)*1000</f>
        <v>800.0000000001819</v>
      </c>
      <c r="V29" s="8" t="s">
        <v>65</v>
      </c>
    </row>
    <row r="30" spans="1:35" ht="18.75" x14ac:dyDescent="0.3">
      <c r="A30" s="11" t="s">
        <v>21</v>
      </c>
      <c r="B30" s="8">
        <f>$G$14+7643678</f>
        <v>7643745</v>
      </c>
      <c r="C30" s="8" t="s">
        <v>65</v>
      </c>
      <c r="D30" s="9" t="s">
        <v>24</v>
      </c>
      <c r="E30" s="97">
        <f>B30/1000000</f>
        <v>7.643745</v>
      </c>
      <c r="F30" s="97"/>
      <c r="G30" s="8" t="s">
        <v>63</v>
      </c>
      <c r="H30" s="27"/>
      <c r="J30" s="11" t="s">
        <v>38</v>
      </c>
      <c r="K30" s="91">
        <f>9452+R14</f>
        <v>9455</v>
      </c>
      <c r="L30" s="91"/>
      <c r="M30" s="8" t="s">
        <v>65</v>
      </c>
      <c r="N30" s="9" t="s">
        <v>24</v>
      </c>
      <c r="O30" s="62">
        <v>0</v>
      </c>
      <c r="P30" s="8" t="s">
        <v>62</v>
      </c>
      <c r="Q30" s="62">
        <v>0</v>
      </c>
      <c r="R30" s="8" t="s">
        <v>63</v>
      </c>
      <c r="S30" s="62">
        <f>TRUNC(K30/1000,0)</f>
        <v>9</v>
      </c>
      <c r="T30" s="8" t="s">
        <v>64</v>
      </c>
      <c r="U30" s="62">
        <f>(K30-S30*1000)</f>
        <v>455</v>
      </c>
      <c r="V30" s="8" t="s">
        <v>65</v>
      </c>
    </row>
    <row r="31" spans="1:35" ht="18.75" x14ac:dyDescent="0.3">
      <c r="H31" s="27"/>
      <c r="J31" s="11" t="s">
        <v>39</v>
      </c>
      <c r="K31" s="91">
        <f>0.87+R14</f>
        <v>3.87</v>
      </c>
      <c r="L31" s="91"/>
      <c r="M31" s="8" t="s">
        <v>62</v>
      </c>
      <c r="N31" s="9" t="s">
        <v>24</v>
      </c>
      <c r="O31" s="62">
        <f>TRUNC(K31,0)</f>
        <v>3</v>
      </c>
      <c r="P31" s="8" t="s">
        <v>62</v>
      </c>
      <c r="Q31" s="62">
        <f>(K31-O31)*1000</f>
        <v>870.00000000000011</v>
      </c>
      <c r="R31" s="8" t="s">
        <v>63</v>
      </c>
      <c r="S31" s="62">
        <v>0</v>
      </c>
      <c r="T31" s="8" t="s">
        <v>64</v>
      </c>
      <c r="U31" s="62">
        <v>0</v>
      </c>
      <c r="V31" s="8" t="s">
        <v>65</v>
      </c>
    </row>
    <row r="32" spans="1:35" ht="18.75" x14ac:dyDescent="0.3">
      <c r="A32" s="11"/>
      <c r="B32" s="8"/>
      <c r="C32" s="8"/>
      <c r="D32" s="9"/>
      <c r="E32" s="5"/>
      <c r="F32" s="5"/>
      <c r="G32" s="8"/>
      <c r="H32" s="27"/>
      <c r="J32" s="11" t="s">
        <v>40</v>
      </c>
      <c r="K32" s="91">
        <f>243.678+R14</f>
        <v>246.678</v>
      </c>
      <c r="L32" s="91"/>
      <c r="M32" s="8" t="s">
        <v>65</v>
      </c>
      <c r="N32" s="9" t="s">
        <v>24</v>
      </c>
      <c r="O32" s="62">
        <v>0</v>
      </c>
      <c r="P32" s="8" t="s">
        <v>62</v>
      </c>
      <c r="Q32" s="62">
        <v>0</v>
      </c>
      <c r="R32" s="8" t="s">
        <v>63</v>
      </c>
      <c r="S32" s="62">
        <f>TRUNC(K32,0)</f>
        <v>246</v>
      </c>
      <c r="T32" s="8" t="s">
        <v>64</v>
      </c>
      <c r="U32" s="62">
        <f>(K32-S32)*1000</f>
        <v>677.99999999999727</v>
      </c>
      <c r="V32" s="8" t="s">
        <v>65</v>
      </c>
    </row>
    <row r="33" spans="1:27" ht="18.75" x14ac:dyDescent="0.3">
      <c r="A33" s="11"/>
      <c r="B33" s="8"/>
      <c r="C33" s="8"/>
      <c r="D33" s="9"/>
      <c r="E33" s="5"/>
      <c r="F33" s="5"/>
      <c r="G33" s="8"/>
      <c r="H33" s="27"/>
      <c r="J33" s="11" t="s">
        <v>41</v>
      </c>
      <c r="K33" s="91">
        <f>82.9+R14</f>
        <v>85.9</v>
      </c>
      <c r="L33" s="91"/>
      <c r="M33" s="8" t="s">
        <v>64</v>
      </c>
      <c r="N33" s="9" t="s">
        <v>24</v>
      </c>
      <c r="O33" s="62">
        <v>0</v>
      </c>
      <c r="P33" s="8" t="s">
        <v>62</v>
      </c>
      <c r="Q33" s="62">
        <v>0</v>
      </c>
      <c r="R33" s="8" t="s">
        <v>63</v>
      </c>
      <c r="S33" s="62">
        <f>TRUNC(K33,0)</f>
        <v>85</v>
      </c>
      <c r="T33" s="8" t="s">
        <v>64</v>
      </c>
      <c r="U33" s="62">
        <f>(K33-S33)*1000</f>
        <v>900.00000000000568</v>
      </c>
      <c r="V33" s="8" t="s">
        <v>65</v>
      </c>
    </row>
    <row r="34" spans="1:27" ht="18.75" x14ac:dyDescent="0.3">
      <c r="A34" s="11"/>
      <c r="B34" s="8"/>
      <c r="C34" s="8"/>
      <c r="D34" s="8"/>
      <c r="E34" s="8"/>
      <c r="F34" s="8"/>
      <c r="G34" s="5"/>
      <c r="H34" s="5"/>
      <c r="J34" s="5"/>
      <c r="K34" s="99" t="s">
        <v>44</v>
      </c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42"/>
      <c r="W34" s="42"/>
      <c r="X34" s="42"/>
      <c r="Y34" s="42"/>
      <c r="Z34" s="42"/>
      <c r="AA34" s="42"/>
    </row>
    <row r="35" spans="1:27" ht="15.75" x14ac:dyDescent="0.25">
      <c r="A35" s="5"/>
      <c r="B35" s="5"/>
      <c r="C35" s="5"/>
      <c r="D35" s="5"/>
      <c r="E35" s="5"/>
      <c r="F35" s="5"/>
      <c r="G35" s="5"/>
      <c r="H35" s="5"/>
      <c r="J35" s="5"/>
      <c r="K35" s="5"/>
      <c r="L35" s="32"/>
      <c r="M35" s="32"/>
    </row>
    <row r="36" spans="1:27" ht="18.75" x14ac:dyDescent="0.3">
      <c r="A36" s="10"/>
      <c r="B36" s="4"/>
      <c r="C36" s="4"/>
      <c r="D36" s="4"/>
      <c r="E36" s="4"/>
      <c r="F36" s="5"/>
      <c r="G36" s="5"/>
      <c r="H36" s="5"/>
      <c r="J36" s="5"/>
      <c r="K36" s="5"/>
      <c r="L36" s="5"/>
    </row>
    <row r="37" spans="1:27" ht="18.75" x14ac:dyDescent="0.3">
      <c r="A37" s="10"/>
      <c r="B37" s="5"/>
      <c r="C37" s="5"/>
      <c r="D37" s="5"/>
      <c r="E37" s="5"/>
      <c r="F37" s="5"/>
      <c r="G37" s="5"/>
      <c r="H37" s="5"/>
      <c r="J37" s="5"/>
      <c r="K37" s="5"/>
      <c r="L37" s="5"/>
    </row>
    <row r="38" spans="1:27" ht="15.75" x14ac:dyDescent="0.25">
      <c r="B38" s="5"/>
      <c r="C38" s="5"/>
      <c r="D38" s="5"/>
      <c r="E38" s="5"/>
      <c r="F38" s="5"/>
      <c r="G38" s="5"/>
      <c r="H38" s="5"/>
      <c r="J38" s="5"/>
      <c r="K38" s="5"/>
      <c r="L38" s="5"/>
    </row>
    <row r="39" spans="1:27" ht="18.75" x14ac:dyDescent="0.3">
      <c r="A39" s="11"/>
    </row>
    <row r="40" spans="1:27" ht="18.75" x14ac:dyDescent="0.3">
      <c r="A40" s="11"/>
    </row>
    <row r="41" spans="1:27" ht="18.75" x14ac:dyDescent="0.3">
      <c r="A41" s="11"/>
      <c r="N41" s="5"/>
      <c r="O41" s="5"/>
      <c r="P41" s="5"/>
      <c r="Q41" s="5"/>
    </row>
    <row r="42" spans="1:27" ht="18.75" x14ac:dyDescent="0.3">
      <c r="A42" s="11"/>
      <c r="N42" s="5"/>
      <c r="O42" s="5"/>
      <c r="P42" s="5"/>
      <c r="Q42" s="5"/>
    </row>
    <row r="43" spans="1:27" ht="18.75" x14ac:dyDescent="0.3">
      <c r="A43" s="11"/>
      <c r="N43" s="5"/>
      <c r="O43" s="5"/>
      <c r="P43" s="5"/>
      <c r="Q43" s="5"/>
    </row>
    <row r="44" spans="1:27" ht="18.75" x14ac:dyDescent="0.3">
      <c r="A44" s="11"/>
      <c r="N44" s="5"/>
      <c r="O44" s="5"/>
      <c r="P44" s="5"/>
      <c r="Q44" s="5"/>
    </row>
    <row r="45" spans="1:27" ht="18.75" x14ac:dyDescent="0.3">
      <c r="A45" s="11"/>
      <c r="N45" s="5"/>
      <c r="O45" s="5"/>
      <c r="P45" s="5"/>
      <c r="Q45" s="5"/>
    </row>
    <row r="46" spans="1:27" ht="18.75" x14ac:dyDescent="0.3">
      <c r="A46" s="11"/>
      <c r="N46" s="5"/>
      <c r="O46" s="5"/>
      <c r="P46" s="5"/>
      <c r="Q46" s="5"/>
    </row>
    <row r="47" spans="1:27" ht="15.75" x14ac:dyDescent="0.25">
      <c r="N47" s="5"/>
      <c r="O47" s="5"/>
      <c r="P47" s="5"/>
      <c r="Q47" s="5"/>
    </row>
    <row r="48" spans="1:27" ht="15.75" x14ac:dyDescent="0.25">
      <c r="N48" s="5"/>
      <c r="O48" s="5"/>
      <c r="P48" s="5"/>
      <c r="Q48" s="5"/>
    </row>
    <row r="49" spans="1:17" ht="18.75" x14ac:dyDescent="0.3">
      <c r="A49" s="14"/>
      <c r="B49" s="5"/>
      <c r="C49" s="5"/>
      <c r="E49" s="5"/>
      <c r="G49" s="5"/>
      <c r="H49" s="5"/>
      <c r="J49" s="5"/>
      <c r="K49" s="5"/>
      <c r="M49" s="5"/>
      <c r="N49" s="5"/>
      <c r="O49" s="5"/>
      <c r="P49" s="5"/>
      <c r="Q49" s="5"/>
    </row>
    <row r="50" spans="1:17" ht="18.75" x14ac:dyDescent="0.3">
      <c r="A50" s="11"/>
      <c r="B50" s="5"/>
      <c r="C50" s="5"/>
      <c r="E50" s="5"/>
      <c r="G50" s="5"/>
      <c r="H50" s="5"/>
      <c r="J50" s="5"/>
      <c r="K50" s="5"/>
      <c r="M50" s="5"/>
      <c r="N50" s="5"/>
      <c r="O50" s="5"/>
      <c r="P50" s="5"/>
      <c r="Q50" s="5"/>
    </row>
    <row r="51" spans="1:17" ht="18.75" x14ac:dyDescent="0.3">
      <c r="A51" s="11"/>
      <c r="B51" s="5"/>
      <c r="C51" s="5"/>
      <c r="E51" s="5"/>
      <c r="G51" s="5"/>
      <c r="H51" s="5"/>
      <c r="J51" s="5"/>
      <c r="K51" s="5"/>
      <c r="M51" s="5"/>
      <c r="N51" s="5"/>
      <c r="O51" s="5"/>
      <c r="P51" s="5"/>
      <c r="Q51" s="5"/>
    </row>
    <row r="52" spans="1:17" ht="18.75" x14ac:dyDescent="0.3">
      <c r="A52" s="11"/>
      <c r="B52" s="5"/>
      <c r="C52" s="5"/>
      <c r="E52" s="5"/>
      <c r="G52" s="5"/>
      <c r="H52" s="5"/>
      <c r="J52" s="5"/>
      <c r="K52" s="5"/>
      <c r="M52" s="5"/>
      <c r="N52" s="5"/>
      <c r="O52" s="5"/>
      <c r="P52" s="5"/>
      <c r="Q52" s="5"/>
    </row>
    <row r="53" spans="1:17" ht="18.75" x14ac:dyDescent="0.3">
      <c r="A53" s="11"/>
      <c r="B53" s="5"/>
      <c r="C53" s="5"/>
      <c r="E53" s="5"/>
      <c r="G53" s="5"/>
      <c r="H53" s="5"/>
      <c r="J53" s="5"/>
      <c r="K53" s="5"/>
      <c r="M53" s="5"/>
      <c r="N53" s="5"/>
      <c r="O53" s="5"/>
      <c r="P53" s="5"/>
      <c r="Q53" s="5"/>
    </row>
    <row r="54" spans="1:17" ht="18.75" x14ac:dyDescent="0.3">
      <c r="A54" s="11"/>
      <c r="B54" s="5"/>
      <c r="C54" s="5"/>
      <c r="E54" s="5"/>
      <c r="G54" s="5"/>
      <c r="H54" s="5"/>
      <c r="J54" s="5"/>
      <c r="K54" s="5"/>
      <c r="M54" s="5"/>
      <c r="N54" s="5"/>
      <c r="O54" s="5"/>
      <c r="P54" s="5"/>
      <c r="Q54" s="5"/>
    </row>
    <row r="55" spans="1:17" ht="18.75" x14ac:dyDescent="0.3">
      <c r="A55" s="11"/>
      <c r="B55" s="5"/>
      <c r="C55" s="5"/>
      <c r="E55" s="5"/>
      <c r="G55" s="5"/>
      <c r="H55" s="5"/>
      <c r="J55" s="5"/>
      <c r="K55" s="5"/>
      <c r="M55" s="5"/>
      <c r="N55" s="5"/>
      <c r="O55" s="5"/>
      <c r="P55" s="5"/>
      <c r="Q55" s="5"/>
    </row>
    <row r="56" spans="1:17" ht="18.75" x14ac:dyDescent="0.3">
      <c r="A56" s="11"/>
      <c r="B56" s="5"/>
      <c r="C56" s="5"/>
      <c r="E56" s="5"/>
      <c r="G56" s="5"/>
      <c r="H56" s="5"/>
      <c r="J56" s="5"/>
      <c r="K56" s="5"/>
      <c r="M56" s="5"/>
      <c r="N56" s="5"/>
      <c r="O56" s="5"/>
      <c r="P56" s="5"/>
      <c r="Q56" s="5"/>
    </row>
    <row r="57" spans="1:17" ht="15.75" x14ac:dyDescent="0.25">
      <c r="A57" s="5"/>
      <c r="B57" s="5"/>
      <c r="C57" s="5"/>
      <c r="D57" s="5"/>
      <c r="E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1:17" ht="18.75" x14ac:dyDescent="0.3">
      <c r="A58" s="10"/>
      <c r="B58" s="4"/>
      <c r="C58" s="4"/>
      <c r="D58" s="4"/>
      <c r="E58" s="4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1:17" ht="15.75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1:17" ht="18.75" x14ac:dyDescent="0.3">
      <c r="A60" s="11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1:17" ht="18.75" x14ac:dyDescent="0.3">
      <c r="A61" s="11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1:17" ht="18.75" x14ac:dyDescent="0.3">
      <c r="A62" s="11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ht="18.75" x14ac:dyDescent="0.3">
      <c r="A63" s="11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7" ht="18.75" x14ac:dyDescent="0.3">
      <c r="A64" s="11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1:17" ht="18.75" x14ac:dyDescent="0.3">
      <c r="A65" s="11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1:17" ht="18.75" x14ac:dyDescent="0.3">
      <c r="A66" s="11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1:17" ht="18.75" x14ac:dyDescent="0.3">
      <c r="A67" s="11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17" ht="18.75" x14ac:dyDescent="0.3">
      <c r="A68" s="11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7" ht="18.75" x14ac:dyDescent="0.3">
      <c r="A69" s="11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17" ht="18.75" x14ac:dyDescent="0.3">
      <c r="A70" s="11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ht="18.75" x14ac:dyDescent="0.3">
      <c r="A71" s="11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 ht="18.75" x14ac:dyDescent="0.3">
      <c r="A72" s="11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17" ht="18.75" x14ac:dyDescent="0.3">
      <c r="A73" s="11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ht="18.75" x14ac:dyDescent="0.3">
      <c r="A74" s="11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7" ht="18.75" x14ac:dyDescent="0.3">
      <c r="A75" s="11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1:17" ht="18.75" x14ac:dyDescent="0.3">
      <c r="A76" s="11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17" ht="18.75" x14ac:dyDescent="0.3">
      <c r="A77" s="11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</sheetData>
  <sheetProtection password="C7EC" sheet="1" objects="1" scenarios="1"/>
  <mergeCells count="30">
    <mergeCell ref="K34:U34"/>
    <mergeCell ref="E25:F25"/>
    <mergeCell ref="E26:F26"/>
    <mergeCell ref="E27:F27"/>
    <mergeCell ref="E28:F28"/>
    <mergeCell ref="E29:F29"/>
    <mergeCell ref="E30:F30"/>
    <mergeCell ref="K30:L30"/>
    <mergeCell ref="K31:L31"/>
    <mergeCell ref="K32:L32"/>
    <mergeCell ref="K33:L33"/>
    <mergeCell ref="K26:L26"/>
    <mergeCell ref="K27:L27"/>
    <mergeCell ref="K28:L28"/>
    <mergeCell ref="K29:L29"/>
    <mergeCell ref="E18:F18"/>
    <mergeCell ref="E19:F19"/>
    <mergeCell ref="E20:F20"/>
    <mergeCell ref="E21:F21"/>
    <mergeCell ref="A1:V2"/>
    <mergeCell ref="B4:G4"/>
    <mergeCell ref="A14:F14"/>
    <mergeCell ref="J14:Q14"/>
    <mergeCell ref="E16:F16"/>
    <mergeCell ref="E17:F17"/>
    <mergeCell ref="N8:O8"/>
    <mergeCell ref="R8:S8"/>
    <mergeCell ref="N9:O9"/>
    <mergeCell ref="R9:S9"/>
    <mergeCell ref="R10:S10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workbookViewId="0">
      <selection activeCell="K3" sqref="K3"/>
    </sheetView>
  </sheetViews>
  <sheetFormatPr baseColWidth="10" defaultRowHeight="15" x14ac:dyDescent="0.25"/>
  <cols>
    <col min="1" max="1" width="5" customWidth="1"/>
    <col min="2" max="2" width="4" bestFit="1" customWidth="1"/>
    <col min="3" max="3" width="8.5703125" bestFit="1" customWidth="1"/>
    <col min="4" max="4" width="2" bestFit="1" customWidth="1"/>
    <col min="6" max="6" width="11.42578125" bestFit="1" customWidth="1"/>
    <col min="7" max="7" width="2" bestFit="1" customWidth="1"/>
    <col min="9" max="9" width="11.42578125" hidden="1" customWidth="1"/>
    <col min="10" max="10" width="12" bestFit="1" customWidth="1"/>
    <col min="11" max="11" width="2" bestFit="1" customWidth="1"/>
    <col min="12" max="12" width="6.42578125" customWidth="1"/>
    <col min="13" max="13" width="8.140625" bestFit="1" customWidth="1"/>
    <col min="14" max="14" width="4.42578125" bestFit="1" customWidth="1"/>
    <col min="15" max="15" width="5.85546875" customWidth="1"/>
    <col min="17" max="17" width="4.42578125" bestFit="1" customWidth="1"/>
    <col min="18" max="18" width="9.7109375" customWidth="1"/>
    <col min="19" max="19" width="13.85546875" bestFit="1" customWidth="1"/>
    <col min="20" max="20" width="2" bestFit="1" customWidth="1"/>
    <col min="21" max="21" width="10.42578125" customWidth="1"/>
    <col min="22" max="22" width="14.5703125" hidden="1" customWidth="1"/>
  </cols>
  <sheetData>
    <row r="1" spans="1:25" ht="15" customHeight="1" x14ac:dyDescent="0.25">
      <c r="A1" s="86" t="s">
        <v>76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46"/>
      <c r="W1" s="46"/>
      <c r="X1" s="46"/>
      <c r="Y1" s="46"/>
    </row>
    <row r="2" spans="1:25" ht="15" customHeigh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46"/>
      <c r="W2" s="46"/>
      <c r="X2" s="46"/>
      <c r="Y2" s="46"/>
    </row>
    <row r="3" spans="1:25" ht="18.75" x14ac:dyDescent="0.3">
      <c r="A3" s="10" t="s">
        <v>7</v>
      </c>
      <c r="B3" s="10"/>
      <c r="D3" s="4"/>
      <c r="E3" s="4"/>
      <c r="F3" s="4"/>
      <c r="G3" s="4"/>
      <c r="H3" s="4"/>
      <c r="I3" s="4"/>
      <c r="J3" s="5"/>
    </row>
    <row r="4" spans="1:25" ht="15.75" x14ac:dyDescent="0.25">
      <c r="A4" s="87" t="s">
        <v>42</v>
      </c>
      <c r="B4" s="87"/>
      <c r="C4" s="87"/>
      <c r="D4" s="87"/>
      <c r="E4" s="87"/>
      <c r="F4" s="87"/>
      <c r="G4" s="66"/>
      <c r="H4" s="66"/>
      <c r="I4" s="66"/>
    </row>
    <row r="6" spans="1:25" s="23" customFormat="1" ht="15.75" x14ac:dyDescent="0.25">
      <c r="C6" s="23" t="s">
        <v>96</v>
      </c>
      <c r="D6" s="24" t="s">
        <v>24</v>
      </c>
      <c r="E6" s="48"/>
      <c r="F6" s="23" t="s">
        <v>97</v>
      </c>
      <c r="G6" s="24" t="s">
        <v>24</v>
      </c>
      <c r="H6" s="48"/>
      <c r="I6" s="73"/>
      <c r="J6" s="23" t="s">
        <v>98</v>
      </c>
      <c r="K6" s="24" t="s">
        <v>24</v>
      </c>
      <c r="L6" s="48"/>
      <c r="M6" s="23" t="s">
        <v>78</v>
      </c>
      <c r="N6" s="24" t="s">
        <v>24</v>
      </c>
      <c r="O6" s="48"/>
      <c r="P6" s="23" t="s">
        <v>79</v>
      </c>
      <c r="Q6" s="24" t="s">
        <v>24</v>
      </c>
      <c r="R6" s="48"/>
      <c r="S6" s="23" t="s">
        <v>80</v>
      </c>
      <c r="T6" s="24" t="s">
        <v>24</v>
      </c>
      <c r="U6" s="48"/>
      <c r="V6" s="23" t="s">
        <v>81</v>
      </c>
    </row>
    <row r="7" spans="1:25" s="23" customFormat="1" ht="15.75" x14ac:dyDescent="0.25">
      <c r="F7" s="23" t="s">
        <v>83</v>
      </c>
      <c r="G7" s="24" t="s">
        <v>24</v>
      </c>
      <c r="H7" s="48"/>
      <c r="I7" s="73"/>
      <c r="J7" s="23" t="s">
        <v>95</v>
      </c>
      <c r="K7" s="24" t="s">
        <v>24</v>
      </c>
      <c r="L7" s="48"/>
      <c r="M7" s="23" t="s">
        <v>86</v>
      </c>
      <c r="N7" s="24" t="s">
        <v>24</v>
      </c>
      <c r="O7" s="48"/>
      <c r="P7" s="23" t="s">
        <v>88</v>
      </c>
      <c r="Q7" s="24" t="s">
        <v>24</v>
      </c>
      <c r="R7" s="48"/>
      <c r="S7" s="23" t="s">
        <v>89</v>
      </c>
      <c r="T7" s="24" t="s">
        <v>24</v>
      </c>
      <c r="U7" s="48"/>
      <c r="V7" s="23" t="s">
        <v>90</v>
      </c>
    </row>
    <row r="8" spans="1:25" s="23" customFormat="1" ht="15.75" x14ac:dyDescent="0.25">
      <c r="J8" s="23" t="s">
        <v>84</v>
      </c>
      <c r="K8" s="24" t="s">
        <v>24</v>
      </c>
      <c r="L8" s="48"/>
      <c r="M8" s="23" t="s">
        <v>87</v>
      </c>
      <c r="N8" s="24" t="s">
        <v>24</v>
      </c>
      <c r="O8" s="48"/>
      <c r="P8" s="23" t="s">
        <v>88</v>
      </c>
      <c r="Q8" s="24" t="s">
        <v>24</v>
      </c>
      <c r="R8" s="48"/>
      <c r="S8" s="23" t="s">
        <v>89</v>
      </c>
      <c r="T8" s="24" t="s">
        <v>24</v>
      </c>
      <c r="U8" s="48"/>
      <c r="V8" s="23" t="s">
        <v>90</v>
      </c>
    </row>
    <row r="9" spans="1:25" s="23" customFormat="1" ht="15.75" x14ac:dyDescent="0.25">
      <c r="M9" s="23" t="s">
        <v>85</v>
      </c>
      <c r="N9" s="24" t="s">
        <v>24</v>
      </c>
      <c r="O9" s="48"/>
      <c r="P9" s="23" t="s">
        <v>88</v>
      </c>
      <c r="Q9" s="24" t="s">
        <v>24</v>
      </c>
      <c r="R9" s="48"/>
      <c r="S9" s="23" t="s">
        <v>89</v>
      </c>
      <c r="T9" s="24" t="s">
        <v>24</v>
      </c>
      <c r="U9" s="48"/>
      <c r="V9" s="23" t="s">
        <v>90</v>
      </c>
    </row>
    <row r="10" spans="1:25" s="23" customFormat="1" ht="15.75" x14ac:dyDescent="0.25">
      <c r="P10" s="23" t="s">
        <v>91</v>
      </c>
      <c r="Q10" s="24" t="s">
        <v>24</v>
      </c>
      <c r="R10" s="48"/>
      <c r="S10" s="23" t="s">
        <v>89</v>
      </c>
      <c r="T10" s="24" t="s">
        <v>24</v>
      </c>
      <c r="U10" s="48"/>
      <c r="V10" s="23" t="s">
        <v>90</v>
      </c>
    </row>
    <row r="11" spans="1:25" s="23" customFormat="1" ht="15.75" x14ac:dyDescent="0.25">
      <c r="S11" s="23" t="s">
        <v>92</v>
      </c>
      <c r="T11" s="24" t="s">
        <v>24</v>
      </c>
      <c r="U11" s="48"/>
      <c r="V11" s="23" t="s">
        <v>90</v>
      </c>
    </row>
    <row r="14" spans="1:25" ht="18.75" x14ac:dyDescent="0.3">
      <c r="A14" s="10" t="s">
        <v>6</v>
      </c>
      <c r="B14" s="10"/>
    </row>
    <row r="16" spans="1:25" ht="15.75" x14ac:dyDescent="0.25">
      <c r="G16" s="100" t="s">
        <v>93</v>
      </c>
      <c r="H16" s="100"/>
      <c r="I16" s="100"/>
      <c r="J16" s="100"/>
      <c r="K16" s="100"/>
      <c r="L16" s="100"/>
      <c r="M16" s="34">
        <v>2</v>
      </c>
    </row>
    <row r="17" spans="1:22" x14ac:dyDescent="0.25">
      <c r="G17" s="72"/>
      <c r="H17" s="72"/>
      <c r="I17" s="72"/>
      <c r="J17" s="72"/>
      <c r="K17" s="72"/>
      <c r="L17" s="72"/>
    </row>
    <row r="18" spans="1:22" x14ac:dyDescent="0.25">
      <c r="H18" s="39" t="s">
        <v>45</v>
      </c>
      <c r="I18" s="39"/>
      <c r="K18" s="69"/>
      <c r="U18" s="39" t="s">
        <v>45</v>
      </c>
    </row>
    <row r="19" spans="1:22" s="23" customFormat="1" ht="18.75" x14ac:dyDescent="0.3">
      <c r="A19" s="11" t="s">
        <v>8</v>
      </c>
      <c r="B19" s="23">
        <f>0+M16</f>
        <v>2</v>
      </c>
      <c r="C19" s="23" t="s">
        <v>89</v>
      </c>
      <c r="D19" s="24" t="s">
        <v>24</v>
      </c>
      <c r="E19" s="48"/>
      <c r="F19" s="23" t="s">
        <v>90</v>
      </c>
      <c r="H19" s="38" t="str">
        <f>IF(E19="","x",IF(E19=I19,"richtig","falsch"))</f>
        <v>x</v>
      </c>
      <c r="I19" s="23">
        <f>B19*60</f>
        <v>120</v>
      </c>
      <c r="K19" s="71"/>
      <c r="L19" s="11" t="s">
        <v>26</v>
      </c>
      <c r="M19" s="3">
        <f>2+M16</f>
        <v>4</v>
      </c>
      <c r="N19" s="23" t="s">
        <v>88</v>
      </c>
      <c r="O19" s="3">
        <v>35</v>
      </c>
      <c r="P19" s="3" t="s">
        <v>89</v>
      </c>
      <c r="Q19" s="24" t="s">
        <v>24</v>
      </c>
      <c r="R19" s="48"/>
      <c r="S19" s="74" t="s">
        <v>89</v>
      </c>
      <c r="U19" s="38" t="str">
        <f>IF(R19="","x",IF(R19=V19,"richtig","falsch"))</f>
        <v>x</v>
      </c>
      <c r="V19" s="23">
        <f>M19*60+O19</f>
        <v>275</v>
      </c>
    </row>
    <row r="20" spans="1:22" s="23" customFormat="1" ht="18.75" x14ac:dyDescent="0.3">
      <c r="A20" s="11" t="s">
        <v>9</v>
      </c>
      <c r="B20" s="23">
        <f>2+M16</f>
        <v>4</v>
      </c>
      <c r="C20" s="23" t="s">
        <v>87</v>
      </c>
      <c r="D20" s="24" t="s">
        <v>24</v>
      </c>
      <c r="E20" s="48"/>
      <c r="F20" s="23" t="s">
        <v>88</v>
      </c>
      <c r="H20" s="38" t="str">
        <f>IF(E20="","x",IF(E20=J20,"richtig","falsch"))</f>
        <v>x</v>
      </c>
      <c r="I20" s="23">
        <f>B20*24</f>
        <v>96</v>
      </c>
      <c r="K20" s="71"/>
      <c r="L20" s="11" t="s">
        <v>27</v>
      </c>
      <c r="M20" s="3">
        <v>3</v>
      </c>
      <c r="N20" s="23" t="s">
        <v>87</v>
      </c>
      <c r="O20" s="3">
        <f>17+M16</f>
        <v>19</v>
      </c>
      <c r="P20" s="3" t="s">
        <v>88</v>
      </c>
      <c r="Q20" s="24" t="s">
        <v>24</v>
      </c>
      <c r="R20" s="48"/>
      <c r="S20" s="74" t="s">
        <v>88</v>
      </c>
      <c r="U20" s="38" t="str">
        <f>IF(R20="","x",IF(R20=W20,"richtig","falsch"))</f>
        <v>x</v>
      </c>
      <c r="V20" s="23">
        <f>M20*24+O20</f>
        <v>91</v>
      </c>
    </row>
    <row r="21" spans="1:22" s="23" customFormat="1" ht="18.75" x14ac:dyDescent="0.3">
      <c r="A21" s="11" t="s">
        <v>10</v>
      </c>
      <c r="B21" s="23">
        <f>1+M16</f>
        <v>3</v>
      </c>
      <c r="C21" s="23" t="s">
        <v>88</v>
      </c>
      <c r="D21" s="24" t="s">
        <v>24</v>
      </c>
      <c r="E21" s="48"/>
      <c r="F21" s="23" t="s">
        <v>89</v>
      </c>
      <c r="H21" s="38" t="str">
        <f>IF(E21="","x",IF(E21=J21,"richtig","falsch"))</f>
        <v>x</v>
      </c>
      <c r="I21" s="23">
        <f>B21*60</f>
        <v>180</v>
      </c>
      <c r="K21" s="71"/>
      <c r="L21" s="11" t="s">
        <v>28</v>
      </c>
      <c r="M21" s="3">
        <v>5</v>
      </c>
      <c r="N21" s="23" t="s">
        <v>89</v>
      </c>
      <c r="O21" s="3">
        <f>11+M16</f>
        <v>13</v>
      </c>
      <c r="P21" s="3" t="s">
        <v>90</v>
      </c>
      <c r="Q21" s="24" t="s">
        <v>24</v>
      </c>
      <c r="R21" s="48"/>
      <c r="S21" s="74" t="s">
        <v>90</v>
      </c>
      <c r="U21" s="38" t="str">
        <f>IF(R21="","x",IF(R21=W21,"richtig","falsch"))</f>
        <v>x</v>
      </c>
      <c r="V21" s="23">
        <f>M21*60+O21</f>
        <v>313</v>
      </c>
    </row>
    <row r="22" spans="1:22" s="23" customFormat="1" ht="18.75" x14ac:dyDescent="0.3">
      <c r="A22" s="11" t="s">
        <v>11</v>
      </c>
      <c r="B22" s="23">
        <f>0+M16</f>
        <v>2</v>
      </c>
      <c r="C22" s="23" t="s">
        <v>100</v>
      </c>
      <c r="D22" s="24" t="s">
        <v>24</v>
      </c>
      <c r="E22" s="48"/>
      <c r="F22" s="23" t="s">
        <v>87</v>
      </c>
      <c r="H22" s="38" t="str">
        <f>IF(E22="","x",IF(E22=J22,"richtig","falsch"))</f>
        <v>x</v>
      </c>
      <c r="I22" s="23">
        <f>B22*7</f>
        <v>14</v>
      </c>
      <c r="K22" s="71"/>
      <c r="L22" s="11" t="s">
        <v>29</v>
      </c>
      <c r="M22" s="3">
        <v>2</v>
      </c>
      <c r="N22" s="23" t="s">
        <v>95</v>
      </c>
      <c r="O22" s="3">
        <f>5+M16</f>
        <v>7</v>
      </c>
      <c r="P22" s="3" t="s">
        <v>87</v>
      </c>
      <c r="Q22" s="24" t="s">
        <v>24</v>
      </c>
      <c r="R22" s="48"/>
      <c r="S22" s="74" t="s">
        <v>87</v>
      </c>
      <c r="U22" s="38" t="str">
        <f>IF(R22="","x",IF(R22=W22,"richtig","falsch"))</f>
        <v>x</v>
      </c>
      <c r="V22" s="23">
        <f>M22*7+O22</f>
        <v>21</v>
      </c>
    </row>
    <row r="23" spans="1:22" s="23" customFormat="1" ht="18.75" x14ac:dyDescent="0.3">
      <c r="A23" s="11" t="s">
        <v>12</v>
      </c>
      <c r="B23" s="23">
        <f>0+M16</f>
        <v>2</v>
      </c>
      <c r="C23" s="23" t="s">
        <v>101</v>
      </c>
      <c r="D23" s="24" t="s">
        <v>24</v>
      </c>
      <c r="E23" s="48"/>
      <c r="F23" s="23" t="s">
        <v>102</v>
      </c>
      <c r="H23" s="38" t="str">
        <f>IF(E23="","x",IF(E23=J23,"richtig","falsch"))</f>
        <v>x</v>
      </c>
      <c r="I23" s="23">
        <f>B23*12</f>
        <v>24</v>
      </c>
      <c r="K23" s="71"/>
      <c r="L23" s="11" t="s">
        <v>30</v>
      </c>
      <c r="M23" s="3">
        <f>3+M16</f>
        <v>5</v>
      </c>
      <c r="N23" s="23" t="s">
        <v>99</v>
      </c>
      <c r="O23" s="3">
        <v>3</v>
      </c>
      <c r="P23" s="3" t="s">
        <v>94</v>
      </c>
      <c r="Q23" s="24" t="s">
        <v>24</v>
      </c>
      <c r="R23" s="48"/>
      <c r="S23" s="74" t="s">
        <v>94</v>
      </c>
      <c r="U23" s="38" t="str">
        <f>IF(R23="","x",IF(R23=W23,"richtig","falsch"))</f>
        <v>x</v>
      </c>
      <c r="V23" s="23">
        <f>M23*12+O23</f>
        <v>63</v>
      </c>
    </row>
    <row r="24" spans="1:22" s="23" customFormat="1" ht="18.75" x14ac:dyDescent="0.3">
      <c r="A24" s="11" t="s">
        <v>13</v>
      </c>
      <c r="B24" s="23">
        <f>0+M16</f>
        <v>2</v>
      </c>
      <c r="C24" s="23" t="s">
        <v>101</v>
      </c>
      <c r="D24" s="24" t="s">
        <v>24</v>
      </c>
      <c r="E24" s="48"/>
      <c r="F24" s="23" t="s">
        <v>100</v>
      </c>
      <c r="H24" s="38" t="str">
        <f>IF(E24="","x",IF(E24=J24,"richtig","falsch"))</f>
        <v>x</v>
      </c>
      <c r="I24" s="23">
        <f>B24*52</f>
        <v>104</v>
      </c>
      <c r="K24" s="71"/>
      <c r="L24" s="11" t="s">
        <v>31</v>
      </c>
      <c r="M24" s="3">
        <v>4</v>
      </c>
      <c r="N24" s="23" t="s">
        <v>94</v>
      </c>
      <c r="O24" s="3">
        <f>2+M16</f>
        <v>4</v>
      </c>
      <c r="P24" s="3" t="s">
        <v>95</v>
      </c>
      <c r="Q24" s="24" t="s">
        <v>24</v>
      </c>
      <c r="R24" s="48"/>
      <c r="S24" s="74" t="s">
        <v>95</v>
      </c>
      <c r="U24" s="38" t="str">
        <f>IF(R24="","x",IF(R24=W24,"richtig","falsch"))</f>
        <v>x</v>
      </c>
      <c r="V24" s="23">
        <f>M24*4+O24</f>
        <v>20</v>
      </c>
    </row>
    <row r="25" spans="1:22" ht="18.75" x14ac:dyDescent="0.3">
      <c r="A25" s="16"/>
      <c r="B25" s="16"/>
      <c r="C25" s="22"/>
      <c r="D25" s="22"/>
      <c r="E25" s="22"/>
      <c r="F25" s="22"/>
      <c r="G25" s="22"/>
      <c r="H25" s="22"/>
      <c r="I25" s="69"/>
      <c r="K25" s="70"/>
      <c r="L25" s="22"/>
      <c r="M25" s="22"/>
      <c r="N25" s="22"/>
    </row>
    <row r="26" spans="1:22" ht="18.75" x14ac:dyDescent="0.3">
      <c r="A26" s="14"/>
      <c r="B26" s="14"/>
      <c r="H26" s="69"/>
      <c r="I26" s="69"/>
      <c r="K26" s="70"/>
      <c r="L26" s="13"/>
    </row>
    <row r="27" spans="1:22" s="23" customFormat="1" ht="18.75" x14ac:dyDescent="0.3">
      <c r="A27" s="14" t="s">
        <v>16</v>
      </c>
      <c r="B27" s="23">
        <f>60*M16</f>
        <v>120</v>
      </c>
      <c r="C27" s="23" t="s">
        <v>90</v>
      </c>
      <c r="D27" s="24" t="s">
        <v>24</v>
      </c>
      <c r="E27" s="48"/>
      <c r="F27" s="23" t="s">
        <v>89</v>
      </c>
      <c r="H27" s="38" t="str">
        <f t="shared" ref="H27:H32" si="0">IF(E27="","x",IF(E27=J27,"richtig","falsch"))</f>
        <v>x</v>
      </c>
      <c r="I27" s="23">
        <f>B27/60</f>
        <v>2</v>
      </c>
      <c r="K27" s="71"/>
      <c r="L27" s="11" t="s">
        <v>32</v>
      </c>
      <c r="M27" s="23">
        <f>325+M16</f>
        <v>327</v>
      </c>
      <c r="N27" s="23" t="s">
        <v>89</v>
      </c>
      <c r="O27" s="24" t="s">
        <v>24</v>
      </c>
      <c r="P27" s="48"/>
      <c r="Q27" s="23" t="s">
        <v>88</v>
      </c>
      <c r="R27" s="48"/>
      <c r="S27" s="74" t="s">
        <v>89</v>
      </c>
    </row>
    <row r="28" spans="1:22" s="23" customFormat="1" ht="18.75" x14ac:dyDescent="0.3">
      <c r="A28" s="11" t="s">
        <v>17</v>
      </c>
      <c r="B28" s="23">
        <f>24*M16</f>
        <v>48</v>
      </c>
      <c r="C28" s="23" t="s">
        <v>88</v>
      </c>
      <c r="D28" s="24" t="s">
        <v>24</v>
      </c>
      <c r="E28" s="48"/>
      <c r="F28" s="23" t="s">
        <v>87</v>
      </c>
      <c r="H28" s="38" t="str">
        <f t="shared" si="0"/>
        <v>x</v>
      </c>
      <c r="I28" s="23">
        <f>B28/24</f>
        <v>2</v>
      </c>
      <c r="K28" s="71"/>
      <c r="L28" s="11" t="s">
        <v>33</v>
      </c>
      <c r="M28" s="23">
        <f>84+M16</f>
        <v>86</v>
      </c>
      <c r="N28" s="23" t="s">
        <v>88</v>
      </c>
      <c r="O28" s="24" t="s">
        <v>24</v>
      </c>
      <c r="P28" s="48"/>
      <c r="Q28" s="23" t="s">
        <v>87</v>
      </c>
      <c r="R28" s="48"/>
      <c r="S28" s="74" t="s">
        <v>88</v>
      </c>
    </row>
    <row r="29" spans="1:22" s="23" customFormat="1" ht="18.75" x14ac:dyDescent="0.3">
      <c r="A29" s="11" t="s">
        <v>18</v>
      </c>
      <c r="B29" s="23">
        <f>60*M16</f>
        <v>120</v>
      </c>
      <c r="C29" s="23" t="s">
        <v>89</v>
      </c>
      <c r="D29" s="24" t="s">
        <v>24</v>
      </c>
      <c r="E29" s="48"/>
      <c r="F29" s="23" t="s">
        <v>88</v>
      </c>
      <c r="H29" s="38" t="str">
        <f t="shared" si="0"/>
        <v>x</v>
      </c>
      <c r="I29" s="23">
        <f>B29/60</f>
        <v>2</v>
      </c>
      <c r="K29" s="71"/>
      <c r="L29" s="11" t="s">
        <v>34</v>
      </c>
      <c r="M29" s="23">
        <f>674+M16</f>
        <v>676</v>
      </c>
      <c r="N29" s="23" t="s">
        <v>90</v>
      </c>
      <c r="O29" s="24" t="s">
        <v>24</v>
      </c>
      <c r="P29" s="48"/>
      <c r="Q29" s="23" t="s">
        <v>89</v>
      </c>
      <c r="R29" s="48"/>
      <c r="S29" s="74" t="s">
        <v>90</v>
      </c>
    </row>
    <row r="30" spans="1:22" s="23" customFormat="1" ht="18.75" x14ac:dyDescent="0.3">
      <c r="A30" s="11" t="s">
        <v>19</v>
      </c>
      <c r="B30" s="23">
        <f>7*M16</f>
        <v>14</v>
      </c>
      <c r="C30" s="23" t="s">
        <v>87</v>
      </c>
      <c r="D30" s="24" t="s">
        <v>24</v>
      </c>
      <c r="E30" s="48"/>
      <c r="F30" s="23" t="s">
        <v>103</v>
      </c>
      <c r="H30" s="38" t="str">
        <f t="shared" si="0"/>
        <v>x</v>
      </c>
      <c r="I30" s="23">
        <f>B30/7</f>
        <v>2</v>
      </c>
      <c r="K30" s="71"/>
      <c r="L30" s="11" t="s">
        <v>35</v>
      </c>
      <c r="M30" s="23">
        <f>47+M16</f>
        <v>49</v>
      </c>
      <c r="N30" s="23" t="s">
        <v>87</v>
      </c>
      <c r="O30" s="24" t="s">
        <v>24</v>
      </c>
      <c r="P30" s="48"/>
      <c r="Q30" s="23" t="s">
        <v>95</v>
      </c>
      <c r="R30" s="48"/>
      <c r="S30" s="74" t="s">
        <v>87</v>
      </c>
    </row>
    <row r="31" spans="1:22" s="23" customFormat="1" ht="18.75" x14ac:dyDescent="0.3">
      <c r="A31" s="11" t="s">
        <v>20</v>
      </c>
      <c r="B31" s="23">
        <f>12*M16</f>
        <v>24</v>
      </c>
      <c r="C31" s="23" t="s">
        <v>77</v>
      </c>
      <c r="D31" s="24" t="s">
        <v>24</v>
      </c>
      <c r="E31" s="48"/>
      <c r="F31" s="23" t="s">
        <v>104</v>
      </c>
      <c r="H31" s="38" t="str">
        <f t="shared" si="0"/>
        <v>x</v>
      </c>
      <c r="I31" s="23">
        <f>B31/12</f>
        <v>2</v>
      </c>
      <c r="K31" s="71"/>
      <c r="L31" s="11" t="s">
        <v>36</v>
      </c>
      <c r="M31" s="23">
        <f>36+M16</f>
        <v>38</v>
      </c>
      <c r="N31" s="23" t="s">
        <v>94</v>
      </c>
      <c r="O31" s="24" t="s">
        <v>24</v>
      </c>
      <c r="P31" s="48"/>
      <c r="Q31" s="23" t="s">
        <v>99</v>
      </c>
      <c r="R31" s="48"/>
      <c r="S31" s="74" t="s">
        <v>94</v>
      </c>
    </row>
    <row r="32" spans="1:22" s="23" customFormat="1" ht="18.75" x14ac:dyDescent="0.3">
      <c r="A32" s="11" t="s">
        <v>21</v>
      </c>
      <c r="B32" s="23">
        <f>4*M16</f>
        <v>8</v>
      </c>
      <c r="C32" s="23" t="s">
        <v>82</v>
      </c>
      <c r="D32" s="24" t="s">
        <v>24</v>
      </c>
      <c r="E32" s="48"/>
      <c r="F32" s="23" t="s">
        <v>77</v>
      </c>
      <c r="H32" s="38" t="str">
        <f t="shared" si="0"/>
        <v>x</v>
      </c>
      <c r="I32" s="23">
        <f>B32/4</f>
        <v>2</v>
      </c>
      <c r="K32" s="71"/>
      <c r="L32" s="11" t="s">
        <v>37</v>
      </c>
      <c r="M32" s="23">
        <f>25+M16</f>
        <v>27</v>
      </c>
      <c r="N32" s="23" t="s">
        <v>95</v>
      </c>
      <c r="O32" s="24" t="s">
        <v>24</v>
      </c>
      <c r="P32" s="48"/>
      <c r="Q32" s="23" t="s">
        <v>94</v>
      </c>
      <c r="R32" s="48"/>
      <c r="S32" s="74" t="s">
        <v>95</v>
      </c>
    </row>
    <row r="33" spans="3:23" x14ac:dyDescent="0.25">
      <c r="K33" s="70"/>
    </row>
    <row r="34" spans="3:23" ht="18.75" x14ac:dyDescent="0.3">
      <c r="C34" s="68"/>
      <c r="D34" s="68"/>
      <c r="E34" s="68"/>
      <c r="F34" s="68"/>
      <c r="G34" s="67"/>
      <c r="H34" s="67"/>
      <c r="I34" s="67"/>
      <c r="J34" s="67"/>
      <c r="K34" s="75"/>
      <c r="L34" s="11"/>
      <c r="M34" s="99" t="s">
        <v>44</v>
      </c>
      <c r="N34" s="99"/>
      <c r="O34" s="99"/>
      <c r="P34" s="99"/>
      <c r="Q34" s="99"/>
      <c r="R34" s="99"/>
      <c r="S34" s="99"/>
      <c r="T34" s="67"/>
      <c r="U34" s="67"/>
      <c r="V34" s="67"/>
      <c r="W34" s="67"/>
    </row>
    <row r="35" spans="3:23" ht="18.75" x14ac:dyDescent="0.3">
      <c r="L35" s="11"/>
    </row>
  </sheetData>
  <sheetProtection password="C7EC" sheet="1" objects="1" scenarios="1"/>
  <mergeCells count="4">
    <mergeCell ref="G16:L16"/>
    <mergeCell ref="M34:S34"/>
    <mergeCell ref="A1:U2"/>
    <mergeCell ref="A4:F4"/>
  </mergeCells>
  <conditionalFormatting sqref="H27:H32 H19:H24">
    <cfRule type="containsText" dxfId="29" priority="4" operator="containsText" text="falsch">
      <formula>NOT(ISERROR(SEARCH("falsch",H19)))</formula>
    </cfRule>
    <cfRule type="containsText" dxfId="28" priority="5" operator="containsText" text="richtig">
      <formula>NOT(ISERROR(SEARCH("richtig",H19)))</formula>
    </cfRule>
    <cfRule type="containsText" dxfId="27" priority="6" operator="containsText" text="x">
      <formula>NOT(ISERROR(SEARCH("x",H19)))</formula>
    </cfRule>
  </conditionalFormatting>
  <conditionalFormatting sqref="U19:U24">
    <cfRule type="containsText" dxfId="26" priority="1" operator="containsText" text="falsch">
      <formula>NOT(ISERROR(SEARCH("falsch",U19)))</formula>
    </cfRule>
    <cfRule type="containsText" dxfId="25" priority="2" operator="containsText" text="richtig">
      <formula>NOT(ISERROR(SEARCH("richtig",U19)))</formula>
    </cfRule>
    <cfRule type="containsText" dxfId="24" priority="3" operator="containsText" text="x">
      <formula>NOT(ISERROR(SEARCH("x",U19)))</formula>
    </cfRule>
  </conditionalFormatting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workbookViewId="0">
      <selection activeCell="P4" sqref="P4"/>
    </sheetView>
  </sheetViews>
  <sheetFormatPr baseColWidth="10" defaultRowHeight="15" x14ac:dyDescent="0.25"/>
  <cols>
    <col min="1" max="1" width="5" customWidth="1"/>
    <col min="2" max="2" width="4" bestFit="1" customWidth="1"/>
    <col min="3" max="3" width="8.5703125" bestFit="1" customWidth="1"/>
    <col min="4" max="4" width="2" bestFit="1" customWidth="1"/>
    <col min="6" max="6" width="11.42578125" bestFit="1" customWidth="1"/>
    <col min="7" max="7" width="2" bestFit="1" customWidth="1"/>
    <col min="9" max="9" width="11.42578125" hidden="1" customWidth="1"/>
    <col min="10" max="10" width="12" bestFit="1" customWidth="1"/>
    <col min="11" max="11" width="2" bestFit="1" customWidth="1"/>
    <col min="12" max="12" width="6.42578125" customWidth="1"/>
    <col min="13" max="13" width="8.140625" bestFit="1" customWidth="1"/>
    <col min="14" max="14" width="4.42578125" bestFit="1" customWidth="1"/>
    <col min="15" max="15" width="5.85546875" customWidth="1"/>
    <col min="17" max="17" width="4.42578125" bestFit="1" customWidth="1"/>
    <col min="18" max="18" width="9.7109375" customWidth="1"/>
    <col min="19" max="19" width="13.85546875" bestFit="1" customWidth="1"/>
    <col min="20" max="20" width="2" bestFit="1" customWidth="1"/>
    <col min="21" max="21" width="10.42578125" customWidth="1"/>
    <col min="22" max="22" width="14.5703125" customWidth="1"/>
  </cols>
  <sheetData>
    <row r="1" spans="1:25" ht="15" customHeight="1" x14ac:dyDescent="0.25">
      <c r="A1" s="86" t="s">
        <v>76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46"/>
      <c r="X1" s="46"/>
      <c r="Y1" s="46"/>
    </row>
    <row r="2" spans="1:25" ht="15" customHeigh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46"/>
      <c r="X2" s="46"/>
      <c r="Y2" s="46"/>
    </row>
    <row r="3" spans="1:25" ht="18.75" x14ac:dyDescent="0.3">
      <c r="A3" s="10" t="s">
        <v>7</v>
      </c>
      <c r="B3" s="10"/>
      <c r="D3" s="4"/>
      <c r="E3" s="4"/>
      <c r="F3" s="4"/>
      <c r="G3" s="4"/>
      <c r="H3" s="4"/>
      <c r="I3" s="4"/>
      <c r="J3" s="5"/>
    </row>
    <row r="4" spans="1:25" ht="15.75" x14ac:dyDescent="0.25">
      <c r="A4" s="87" t="s">
        <v>42</v>
      </c>
      <c r="B4" s="87"/>
      <c r="C4" s="87"/>
      <c r="D4" s="87"/>
      <c r="E4" s="87"/>
      <c r="F4" s="87"/>
      <c r="G4" s="66"/>
      <c r="H4" s="66"/>
      <c r="I4" s="66"/>
    </row>
    <row r="6" spans="1:25" s="23" customFormat="1" ht="15.75" x14ac:dyDescent="0.25">
      <c r="C6" s="23" t="s">
        <v>96</v>
      </c>
      <c r="D6" s="24" t="s">
        <v>24</v>
      </c>
      <c r="E6" s="52">
        <v>12</v>
      </c>
      <c r="F6" s="23" t="s">
        <v>97</v>
      </c>
      <c r="G6" s="24" t="s">
        <v>24</v>
      </c>
      <c r="H6" s="52">
        <v>52</v>
      </c>
      <c r="I6" s="73"/>
      <c r="J6" s="23" t="s">
        <v>98</v>
      </c>
      <c r="K6" s="24" t="s">
        <v>24</v>
      </c>
      <c r="L6" s="52">
        <v>365</v>
      </c>
      <c r="M6" s="23" t="s">
        <v>78</v>
      </c>
      <c r="N6" s="24" t="s">
        <v>24</v>
      </c>
      <c r="O6" s="52">
        <f>L6*24</f>
        <v>8760</v>
      </c>
      <c r="P6" s="23" t="s">
        <v>79</v>
      </c>
      <c r="Q6" s="24" t="s">
        <v>24</v>
      </c>
      <c r="R6" s="52">
        <f>O6*60</f>
        <v>525600</v>
      </c>
      <c r="S6" s="23" t="s">
        <v>80</v>
      </c>
      <c r="T6" s="24" t="s">
        <v>24</v>
      </c>
      <c r="U6" s="52">
        <f>R6*60</f>
        <v>31536000</v>
      </c>
      <c r="V6" s="23" t="s">
        <v>81</v>
      </c>
    </row>
    <row r="7" spans="1:25" s="23" customFormat="1" ht="15.75" x14ac:dyDescent="0.25">
      <c r="F7" s="23" t="s">
        <v>83</v>
      </c>
      <c r="G7" s="24" t="s">
        <v>24</v>
      </c>
      <c r="H7" s="52">
        <v>4</v>
      </c>
      <c r="I7" s="73"/>
      <c r="J7" s="23" t="s">
        <v>95</v>
      </c>
      <c r="K7" s="24" t="s">
        <v>24</v>
      </c>
      <c r="L7" s="52">
        <f>H7*7</f>
        <v>28</v>
      </c>
      <c r="M7" s="23" t="s">
        <v>86</v>
      </c>
      <c r="N7" s="24" t="s">
        <v>24</v>
      </c>
      <c r="O7" s="52">
        <f>L7*24</f>
        <v>672</v>
      </c>
      <c r="P7" s="23" t="s">
        <v>88</v>
      </c>
      <c r="Q7" s="24" t="s">
        <v>24</v>
      </c>
      <c r="R7" s="52">
        <f>O7*60</f>
        <v>40320</v>
      </c>
      <c r="S7" s="23" t="s">
        <v>89</v>
      </c>
      <c r="T7" s="24" t="s">
        <v>24</v>
      </c>
      <c r="U7" s="52">
        <f>R7*60</f>
        <v>2419200</v>
      </c>
      <c r="V7" s="23" t="s">
        <v>90</v>
      </c>
    </row>
    <row r="8" spans="1:25" s="23" customFormat="1" ht="15.75" x14ac:dyDescent="0.25">
      <c r="J8" s="23" t="s">
        <v>84</v>
      </c>
      <c r="K8" s="24" t="s">
        <v>24</v>
      </c>
      <c r="L8" s="52">
        <v>7</v>
      </c>
      <c r="M8" s="23" t="s">
        <v>87</v>
      </c>
      <c r="N8" s="24" t="s">
        <v>24</v>
      </c>
      <c r="O8" s="52">
        <f>L8*24</f>
        <v>168</v>
      </c>
      <c r="P8" s="23" t="s">
        <v>88</v>
      </c>
      <c r="Q8" s="24" t="s">
        <v>24</v>
      </c>
      <c r="R8" s="52">
        <f>O8*60</f>
        <v>10080</v>
      </c>
      <c r="S8" s="23" t="s">
        <v>89</v>
      </c>
      <c r="T8" s="24" t="s">
        <v>24</v>
      </c>
      <c r="U8" s="52">
        <f>R8*60</f>
        <v>604800</v>
      </c>
      <c r="V8" s="23" t="s">
        <v>90</v>
      </c>
    </row>
    <row r="9" spans="1:25" s="23" customFormat="1" ht="15.75" x14ac:dyDescent="0.25">
      <c r="M9" s="23" t="s">
        <v>85</v>
      </c>
      <c r="N9" s="24" t="s">
        <v>24</v>
      </c>
      <c r="O9" s="52">
        <v>24</v>
      </c>
      <c r="P9" s="23" t="s">
        <v>88</v>
      </c>
      <c r="Q9" s="24" t="s">
        <v>24</v>
      </c>
      <c r="R9" s="52">
        <f>O9*60</f>
        <v>1440</v>
      </c>
      <c r="S9" s="23" t="s">
        <v>89</v>
      </c>
      <c r="T9" s="24" t="s">
        <v>24</v>
      </c>
      <c r="U9" s="52">
        <f>R9*60</f>
        <v>86400</v>
      </c>
      <c r="V9" s="23" t="s">
        <v>90</v>
      </c>
    </row>
    <row r="10" spans="1:25" s="23" customFormat="1" ht="15.75" x14ac:dyDescent="0.25">
      <c r="P10" s="23" t="s">
        <v>91</v>
      </c>
      <c r="Q10" s="24" t="s">
        <v>24</v>
      </c>
      <c r="R10" s="52">
        <v>60</v>
      </c>
      <c r="S10" s="23" t="s">
        <v>89</v>
      </c>
      <c r="T10" s="24" t="s">
        <v>24</v>
      </c>
      <c r="U10" s="52">
        <f>R10*60</f>
        <v>3600</v>
      </c>
      <c r="V10" s="23" t="s">
        <v>90</v>
      </c>
    </row>
    <row r="11" spans="1:25" s="23" customFormat="1" ht="15.75" x14ac:dyDescent="0.25">
      <c r="S11" s="23" t="s">
        <v>92</v>
      </c>
      <c r="T11" s="24" t="s">
        <v>24</v>
      </c>
      <c r="U11" s="52">
        <v>60</v>
      </c>
      <c r="V11" s="23" t="s">
        <v>90</v>
      </c>
    </row>
    <row r="14" spans="1:25" ht="18.75" x14ac:dyDescent="0.3">
      <c r="A14" s="10" t="s">
        <v>6</v>
      </c>
      <c r="B14" s="10"/>
    </row>
    <row r="16" spans="1:25" ht="15.75" x14ac:dyDescent="0.25">
      <c r="G16" s="100" t="s">
        <v>93</v>
      </c>
      <c r="H16" s="100"/>
      <c r="I16" s="100"/>
      <c r="J16" s="100"/>
      <c r="K16" s="100"/>
      <c r="L16" s="100"/>
      <c r="M16" s="34">
        <v>2</v>
      </c>
    </row>
    <row r="17" spans="1:21" x14ac:dyDescent="0.25">
      <c r="G17" s="72"/>
      <c r="H17" s="72"/>
      <c r="I17" s="72"/>
      <c r="J17" s="72"/>
      <c r="K17" s="72"/>
      <c r="L17" s="72"/>
    </row>
    <row r="18" spans="1:21" x14ac:dyDescent="0.25">
      <c r="H18" s="39"/>
      <c r="I18" s="39"/>
      <c r="K18" s="69"/>
      <c r="U18" s="39"/>
    </row>
    <row r="19" spans="1:21" s="23" customFormat="1" ht="18.75" x14ac:dyDescent="0.3">
      <c r="A19" s="11" t="s">
        <v>8</v>
      </c>
      <c r="B19" s="23">
        <f>0+M16</f>
        <v>2</v>
      </c>
      <c r="C19" s="23" t="s">
        <v>89</v>
      </c>
      <c r="D19" s="24" t="s">
        <v>24</v>
      </c>
      <c r="E19" s="52">
        <f>B19*60</f>
        <v>120</v>
      </c>
      <c r="F19" s="23" t="s">
        <v>90</v>
      </c>
      <c r="H19" s="72"/>
      <c r="I19" s="23">
        <f>B19*60</f>
        <v>120</v>
      </c>
      <c r="K19" s="71"/>
      <c r="L19" s="11" t="s">
        <v>26</v>
      </c>
      <c r="M19" s="3">
        <f>2+M16</f>
        <v>4</v>
      </c>
      <c r="N19" s="23" t="s">
        <v>88</v>
      </c>
      <c r="O19" s="3">
        <v>35</v>
      </c>
      <c r="P19" s="3" t="s">
        <v>89</v>
      </c>
      <c r="Q19" s="24" t="s">
        <v>24</v>
      </c>
      <c r="R19" s="52">
        <f>M19*60+O19</f>
        <v>275</v>
      </c>
      <c r="S19" s="74" t="s">
        <v>89</v>
      </c>
      <c r="U19" s="72"/>
    </row>
    <row r="20" spans="1:21" s="23" customFormat="1" ht="18.75" x14ac:dyDescent="0.3">
      <c r="A20" s="11" t="s">
        <v>9</v>
      </c>
      <c r="B20" s="23">
        <f>2+M16</f>
        <v>4</v>
      </c>
      <c r="C20" s="23" t="s">
        <v>87</v>
      </c>
      <c r="D20" s="24" t="s">
        <v>24</v>
      </c>
      <c r="E20" s="52">
        <f>B20*24</f>
        <v>96</v>
      </c>
      <c r="F20" s="23" t="s">
        <v>88</v>
      </c>
      <c r="H20" s="72"/>
      <c r="I20" s="23">
        <f>B20*24</f>
        <v>96</v>
      </c>
      <c r="K20" s="71"/>
      <c r="L20" s="11" t="s">
        <v>27</v>
      </c>
      <c r="M20" s="3">
        <v>3</v>
      </c>
      <c r="N20" s="23" t="s">
        <v>87</v>
      </c>
      <c r="O20" s="3">
        <f>17+M16</f>
        <v>19</v>
      </c>
      <c r="P20" s="3" t="s">
        <v>88</v>
      </c>
      <c r="Q20" s="24" t="s">
        <v>24</v>
      </c>
      <c r="R20" s="52">
        <f>M20*24+O20</f>
        <v>91</v>
      </c>
      <c r="S20" s="74" t="s">
        <v>88</v>
      </c>
      <c r="U20" s="72"/>
    </row>
    <row r="21" spans="1:21" s="23" customFormat="1" ht="18.75" x14ac:dyDescent="0.3">
      <c r="A21" s="11" t="s">
        <v>10</v>
      </c>
      <c r="B21" s="23">
        <f>1+M16</f>
        <v>3</v>
      </c>
      <c r="C21" s="23" t="s">
        <v>88</v>
      </c>
      <c r="D21" s="24" t="s">
        <v>24</v>
      </c>
      <c r="E21" s="52">
        <f>B21*60</f>
        <v>180</v>
      </c>
      <c r="F21" s="23" t="s">
        <v>89</v>
      </c>
      <c r="H21" s="72"/>
      <c r="I21" s="23">
        <f>B21*60</f>
        <v>180</v>
      </c>
      <c r="K21" s="71"/>
      <c r="L21" s="11" t="s">
        <v>28</v>
      </c>
      <c r="M21" s="3">
        <v>5</v>
      </c>
      <c r="N21" s="23" t="s">
        <v>89</v>
      </c>
      <c r="O21" s="3">
        <f>11+M16</f>
        <v>13</v>
      </c>
      <c r="P21" s="3" t="s">
        <v>90</v>
      </c>
      <c r="Q21" s="24" t="s">
        <v>24</v>
      </c>
      <c r="R21" s="52">
        <f>M21*60+O21</f>
        <v>313</v>
      </c>
      <c r="S21" s="74" t="s">
        <v>90</v>
      </c>
      <c r="U21" s="72"/>
    </row>
    <row r="22" spans="1:21" s="23" customFormat="1" ht="18.75" x14ac:dyDescent="0.3">
      <c r="A22" s="11" t="s">
        <v>11</v>
      </c>
      <c r="B22" s="23">
        <f>0+M16</f>
        <v>2</v>
      </c>
      <c r="C22" s="23" t="s">
        <v>100</v>
      </c>
      <c r="D22" s="24" t="s">
        <v>24</v>
      </c>
      <c r="E22" s="52">
        <f>B22*7</f>
        <v>14</v>
      </c>
      <c r="F22" s="23" t="s">
        <v>87</v>
      </c>
      <c r="H22" s="72"/>
      <c r="I22" s="23">
        <f>B22*7</f>
        <v>14</v>
      </c>
      <c r="K22" s="71"/>
      <c r="L22" s="11" t="s">
        <v>29</v>
      </c>
      <c r="M22" s="3">
        <v>2</v>
      </c>
      <c r="N22" s="23" t="s">
        <v>95</v>
      </c>
      <c r="O22" s="3">
        <f>5+M16</f>
        <v>7</v>
      </c>
      <c r="P22" s="3" t="s">
        <v>87</v>
      </c>
      <c r="Q22" s="24" t="s">
        <v>24</v>
      </c>
      <c r="R22" s="52">
        <f>M22*7+O22</f>
        <v>21</v>
      </c>
      <c r="S22" s="74" t="s">
        <v>87</v>
      </c>
      <c r="U22" s="72"/>
    </row>
    <row r="23" spans="1:21" s="23" customFormat="1" ht="18.75" x14ac:dyDescent="0.3">
      <c r="A23" s="11" t="s">
        <v>12</v>
      </c>
      <c r="B23" s="23">
        <f>0+M16</f>
        <v>2</v>
      </c>
      <c r="C23" s="23" t="s">
        <v>101</v>
      </c>
      <c r="D23" s="24" t="s">
        <v>24</v>
      </c>
      <c r="E23" s="52">
        <f>B23*12</f>
        <v>24</v>
      </c>
      <c r="F23" s="23" t="s">
        <v>102</v>
      </c>
      <c r="H23" s="72"/>
      <c r="I23" s="23">
        <f>B23*12</f>
        <v>24</v>
      </c>
      <c r="K23" s="71"/>
      <c r="L23" s="11" t="s">
        <v>30</v>
      </c>
      <c r="M23" s="3">
        <f>3+M16</f>
        <v>5</v>
      </c>
      <c r="N23" s="23" t="s">
        <v>99</v>
      </c>
      <c r="O23" s="3">
        <v>3</v>
      </c>
      <c r="P23" s="3" t="s">
        <v>94</v>
      </c>
      <c r="Q23" s="24" t="s">
        <v>24</v>
      </c>
      <c r="R23" s="52">
        <f>M23*12+O23</f>
        <v>63</v>
      </c>
      <c r="S23" s="74" t="s">
        <v>94</v>
      </c>
      <c r="U23" s="72"/>
    </row>
    <row r="24" spans="1:21" s="23" customFormat="1" ht="18.75" x14ac:dyDescent="0.3">
      <c r="A24" s="11" t="s">
        <v>13</v>
      </c>
      <c r="B24" s="23">
        <f>0+M16</f>
        <v>2</v>
      </c>
      <c r="C24" s="23" t="s">
        <v>101</v>
      </c>
      <c r="D24" s="24" t="s">
        <v>24</v>
      </c>
      <c r="E24" s="52">
        <f>B24*52</f>
        <v>104</v>
      </c>
      <c r="F24" s="23" t="s">
        <v>100</v>
      </c>
      <c r="H24" s="72"/>
      <c r="I24" s="23">
        <f>B24*52</f>
        <v>104</v>
      </c>
      <c r="K24" s="71"/>
      <c r="L24" s="11" t="s">
        <v>31</v>
      </c>
      <c r="M24" s="3">
        <v>4</v>
      </c>
      <c r="N24" s="23" t="s">
        <v>94</v>
      </c>
      <c r="O24" s="3">
        <f>2+M16</f>
        <v>4</v>
      </c>
      <c r="P24" s="3" t="s">
        <v>95</v>
      </c>
      <c r="Q24" s="24" t="s">
        <v>24</v>
      </c>
      <c r="R24" s="52">
        <f>M24*4+O24</f>
        <v>20</v>
      </c>
      <c r="S24" s="74" t="s">
        <v>95</v>
      </c>
      <c r="U24" s="72"/>
    </row>
    <row r="25" spans="1:21" ht="18.75" x14ac:dyDescent="0.3">
      <c r="A25" s="16"/>
      <c r="B25" s="16"/>
      <c r="C25" s="22"/>
      <c r="D25" s="22"/>
      <c r="E25" s="22"/>
      <c r="F25" s="22"/>
      <c r="G25" s="22"/>
      <c r="H25" s="22"/>
      <c r="I25" s="69"/>
      <c r="K25" s="70"/>
      <c r="L25" s="22"/>
      <c r="M25" s="22"/>
      <c r="N25" s="22"/>
    </row>
    <row r="26" spans="1:21" ht="18.75" x14ac:dyDescent="0.3">
      <c r="A26" s="14"/>
      <c r="B26" s="14"/>
      <c r="H26" s="69"/>
      <c r="I26" s="69"/>
      <c r="K26" s="70"/>
      <c r="L26" s="13"/>
    </row>
    <row r="27" spans="1:21" s="23" customFormat="1" ht="18.75" x14ac:dyDescent="0.3">
      <c r="A27" s="14" t="s">
        <v>16</v>
      </c>
      <c r="B27" s="23">
        <f>60*M16</f>
        <v>120</v>
      </c>
      <c r="C27" s="23" t="s">
        <v>90</v>
      </c>
      <c r="D27" s="24" t="s">
        <v>24</v>
      </c>
      <c r="E27" s="52">
        <f>120/60</f>
        <v>2</v>
      </c>
      <c r="F27" s="23" t="s">
        <v>89</v>
      </c>
      <c r="H27" s="72"/>
      <c r="I27" s="23">
        <f>B27/60</f>
        <v>2</v>
      </c>
      <c r="K27" s="71"/>
      <c r="L27" s="11" t="s">
        <v>32</v>
      </c>
      <c r="M27" s="23">
        <f>325+M16</f>
        <v>327</v>
      </c>
      <c r="N27" s="23" t="s">
        <v>89</v>
      </c>
      <c r="O27" s="24" t="s">
        <v>24</v>
      </c>
      <c r="P27" s="52">
        <f>TRUNC(M27/60,0)</f>
        <v>5</v>
      </c>
      <c r="Q27" s="23" t="s">
        <v>88</v>
      </c>
      <c r="R27" s="52">
        <f>M27-P27*60</f>
        <v>27</v>
      </c>
      <c r="S27" s="74" t="s">
        <v>89</v>
      </c>
    </row>
    <row r="28" spans="1:21" s="23" customFormat="1" ht="18.75" x14ac:dyDescent="0.3">
      <c r="A28" s="11" t="s">
        <v>17</v>
      </c>
      <c r="B28" s="23">
        <f>24*M16</f>
        <v>48</v>
      </c>
      <c r="C28" s="23" t="s">
        <v>88</v>
      </c>
      <c r="D28" s="24" t="s">
        <v>24</v>
      </c>
      <c r="E28" s="52">
        <f>B28/24</f>
        <v>2</v>
      </c>
      <c r="F28" s="23" t="s">
        <v>87</v>
      </c>
      <c r="H28" s="72"/>
      <c r="I28" s="23">
        <f>B28/24</f>
        <v>2</v>
      </c>
      <c r="K28" s="71"/>
      <c r="L28" s="11" t="s">
        <v>33</v>
      </c>
      <c r="M28" s="23">
        <f>84+M16</f>
        <v>86</v>
      </c>
      <c r="N28" s="23" t="s">
        <v>88</v>
      </c>
      <c r="O28" s="24" t="s">
        <v>24</v>
      </c>
      <c r="P28" s="52">
        <f>TRUNC(M28/24,0)</f>
        <v>3</v>
      </c>
      <c r="Q28" s="23" t="s">
        <v>87</v>
      </c>
      <c r="R28" s="52">
        <f>M28-P28*24</f>
        <v>14</v>
      </c>
      <c r="S28" s="74" t="s">
        <v>88</v>
      </c>
    </row>
    <row r="29" spans="1:21" s="23" customFormat="1" ht="18.75" x14ac:dyDescent="0.3">
      <c r="A29" s="11" t="s">
        <v>18</v>
      </c>
      <c r="B29" s="23">
        <f>60*M16</f>
        <v>120</v>
      </c>
      <c r="C29" s="23" t="s">
        <v>89</v>
      </c>
      <c r="D29" s="24" t="s">
        <v>24</v>
      </c>
      <c r="E29" s="52">
        <f>B29/60</f>
        <v>2</v>
      </c>
      <c r="F29" s="23" t="s">
        <v>88</v>
      </c>
      <c r="H29" s="72"/>
      <c r="I29" s="23">
        <f>B29/60</f>
        <v>2</v>
      </c>
      <c r="K29" s="71"/>
      <c r="L29" s="11" t="s">
        <v>34</v>
      </c>
      <c r="M29" s="23">
        <f>674+M16</f>
        <v>676</v>
      </c>
      <c r="N29" s="23" t="s">
        <v>90</v>
      </c>
      <c r="O29" s="24" t="s">
        <v>24</v>
      </c>
      <c r="P29" s="52">
        <f>TRUNC(M29/60,0)</f>
        <v>11</v>
      </c>
      <c r="Q29" s="23" t="s">
        <v>89</v>
      </c>
      <c r="R29" s="52">
        <f>M29-P29*60</f>
        <v>16</v>
      </c>
      <c r="S29" s="74" t="s">
        <v>90</v>
      </c>
    </row>
    <row r="30" spans="1:21" s="23" customFormat="1" ht="18.75" x14ac:dyDescent="0.3">
      <c r="A30" s="11" t="s">
        <v>19</v>
      </c>
      <c r="B30" s="23">
        <f>7*M16</f>
        <v>14</v>
      </c>
      <c r="C30" s="23" t="s">
        <v>87</v>
      </c>
      <c r="D30" s="24" t="s">
        <v>24</v>
      </c>
      <c r="E30" s="52">
        <f>B30/7</f>
        <v>2</v>
      </c>
      <c r="F30" s="23" t="s">
        <v>103</v>
      </c>
      <c r="H30" s="72"/>
      <c r="I30" s="23">
        <f>B30/7</f>
        <v>2</v>
      </c>
      <c r="K30" s="71"/>
      <c r="L30" s="11" t="s">
        <v>35</v>
      </c>
      <c r="M30" s="23">
        <f>47+M16</f>
        <v>49</v>
      </c>
      <c r="N30" s="23" t="s">
        <v>87</v>
      </c>
      <c r="O30" s="24" t="s">
        <v>24</v>
      </c>
      <c r="P30" s="52">
        <f>TRUNC(M30/7,0)</f>
        <v>7</v>
      </c>
      <c r="Q30" s="23" t="s">
        <v>95</v>
      </c>
      <c r="R30" s="52">
        <f>M30-P30*7</f>
        <v>0</v>
      </c>
      <c r="S30" s="74" t="s">
        <v>87</v>
      </c>
    </row>
    <row r="31" spans="1:21" s="23" customFormat="1" ht="18.75" x14ac:dyDescent="0.3">
      <c r="A31" s="11" t="s">
        <v>20</v>
      </c>
      <c r="B31" s="23">
        <f>12*M16</f>
        <v>24</v>
      </c>
      <c r="C31" s="23" t="s">
        <v>77</v>
      </c>
      <c r="D31" s="24" t="s">
        <v>24</v>
      </c>
      <c r="E31" s="52">
        <f>B31/12</f>
        <v>2</v>
      </c>
      <c r="F31" s="23" t="s">
        <v>104</v>
      </c>
      <c r="H31" s="72"/>
      <c r="I31" s="23">
        <f>B31/12</f>
        <v>2</v>
      </c>
      <c r="K31" s="71"/>
      <c r="L31" s="11" t="s">
        <v>36</v>
      </c>
      <c r="M31" s="23">
        <f>36+M16</f>
        <v>38</v>
      </c>
      <c r="N31" s="23" t="s">
        <v>94</v>
      </c>
      <c r="O31" s="24" t="s">
        <v>24</v>
      </c>
      <c r="P31" s="52">
        <f>TRUNC(M31/12,0)</f>
        <v>3</v>
      </c>
      <c r="Q31" s="23" t="s">
        <v>99</v>
      </c>
      <c r="R31" s="52">
        <f>M31-P31*12</f>
        <v>2</v>
      </c>
      <c r="S31" s="74" t="s">
        <v>94</v>
      </c>
    </row>
    <row r="32" spans="1:21" s="23" customFormat="1" ht="18.75" x14ac:dyDescent="0.3">
      <c r="A32" s="11" t="s">
        <v>21</v>
      </c>
      <c r="B32" s="23">
        <f>4*M16</f>
        <v>8</v>
      </c>
      <c r="C32" s="23" t="s">
        <v>82</v>
      </c>
      <c r="D32" s="24" t="s">
        <v>24</v>
      </c>
      <c r="E32" s="52">
        <f>B32/4</f>
        <v>2</v>
      </c>
      <c r="F32" s="23" t="s">
        <v>77</v>
      </c>
      <c r="H32" s="72"/>
      <c r="I32" s="23">
        <f>B32/4</f>
        <v>2</v>
      </c>
      <c r="K32" s="71"/>
      <c r="L32" s="11" t="s">
        <v>37</v>
      </c>
      <c r="M32" s="23">
        <f>25+M16</f>
        <v>27</v>
      </c>
      <c r="N32" s="23" t="s">
        <v>95</v>
      </c>
      <c r="O32" s="24" t="s">
        <v>24</v>
      </c>
      <c r="P32" s="52">
        <f>TRUNC(M32/4,0)</f>
        <v>6</v>
      </c>
      <c r="Q32" s="23" t="s">
        <v>94</v>
      </c>
      <c r="R32" s="52">
        <f>M32-P32*4</f>
        <v>3</v>
      </c>
      <c r="S32" s="74" t="s">
        <v>95</v>
      </c>
    </row>
    <row r="33" spans="3:23" x14ac:dyDescent="0.25">
      <c r="K33" s="70"/>
    </row>
    <row r="34" spans="3:23" ht="18.75" x14ac:dyDescent="0.3">
      <c r="C34" s="68"/>
      <c r="D34" s="68"/>
      <c r="E34" s="68"/>
      <c r="F34" s="68"/>
      <c r="G34" s="67"/>
      <c r="H34" s="67"/>
      <c r="I34" s="67"/>
      <c r="J34" s="67"/>
      <c r="K34" s="75"/>
      <c r="L34" s="11"/>
      <c r="M34" s="99" t="s">
        <v>44</v>
      </c>
      <c r="N34" s="99"/>
      <c r="O34" s="99"/>
      <c r="P34" s="99"/>
      <c r="Q34" s="99"/>
      <c r="R34" s="99"/>
      <c r="S34" s="99"/>
      <c r="T34" s="67"/>
      <c r="U34" s="67"/>
      <c r="V34" s="67"/>
      <c r="W34" s="67"/>
    </row>
    <row r="35" spans="3:23" ht="18.75" x14ac:dyDescent="0.3">
      <c r="L35" s="11"/>
    </row>
  </sheetData>
  <sheetProtection password="C7EC" sheet="1" objects="1" scenarios="1"/>
  <mergeCells count="4">
    <mergeCell ref="A4:F4"/>
    <mergeCell ref="G16:L16"/>
    <mergeCell ref="M34:S34"/>
    <mergeCell ref="A1:V2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1"/>
  <sheetViews>
    <sheetView workbookViewId="0">
      <selection activeCell="P35" sqref="P35:AE35"/>
    </sheetView>
  </sheetViews>
  <sheetFormatPr baseColWidth="10" defaultRowHeight="15" x14ac:dyDescent="0.25"/>
  <cols>
    <col min="1" max="1" width="5.140625" customWidth="1"/>
    <col min="2" max="2" width="9.7109375" customWidth="1"/>
    <col min="3" max="3" width="5.140625" customWidth="1"/>
    <col min="4" max="4" width="5.5703125" customWidth="1"/>
    <col min="5" max="5" width="8.42578125" customWidth="1"/>
    <col min="6" max="6" width="6.85546875" customWidth="1"/>
    <col min="7" max="7" width="7.85546875" bestFit="1" customWidth="1"/>
    <col min="8" max="8" width="9" hidden="1" customWidth="1"/>
    <col min="9" max="9" width="11.28515625" bestFit="1" customWidth="1"/>
    <col min="10" max="10" width="6.140625" customWidth="1"/>
    <col min="11" max="11" width="9.28515625" customWidth="1"/>
    <col min="12" max="12" width="5.85546875" customWidth="1"/>
    <col min="13" max="13" width="5.28515625" customWidth="1"/>
    <col min="14" max="14" width="6.140625" customWidth="1"/>
    <col min="15" max="15" width="5.85546875" customWidth="1"/>
    <col min="16" max="16" width="6" customWidth="1"/>
    <col min="17" max="17" width="6.140625" customWidth="1"/>
    <col min="18" max="18" width="6.140625" hidden="1" customWidth="1"/>
    <col min="19" max="19" width="6.7109375" customWidth="1"/>
    <col min="20" max="20" width="7.42578125" customWidth="1"/>
    <col min="21" max="22" width="7.42578125" hidden="1" customWidth="1"/>
    <col min="23" max="23" width="7.140625" customWidth="1"/>
    <col min="24" max="24" width="9" bestFit="1" customWidth="1"/>
    <col min="25" max="26" width="6.85546875" hidden="1" customWidth="1"/>
    <col min="27" max="27" width="7.140625" customWidth="1"/>
    <col min="28" max="28" width="9.140625" bestFit="1" customWidth="1"/>
    <col min="29" max="30" width="5.28515625" hidden="1" customWidth="1"/>
    <col min="31" max="31" width="5.7109375" customWidth="1"/>
    <col min="32" max="32" width="7.28515625" customWidth="1"/>
    <col min="33" max="34" width="10.7109375" hidden="1" customWidth="1"/>
    <col min="35" max="35" width="11.28515625" hidden="1" customWidth="1"/>
    <col min="36" max="36" width="11.42578125" customWidth="1"/>
  </cols>
  <sheetData>
    <row r="1" spans="1:35" ht="23.25" customHeight="1" x14ac:dyDescent="0.25">
      <c r="A1" s="86" t="s">
        <v>105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</row>
    <row r="2" spans="1:35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</row>
    <row r="3" spans="1:35" ht="18.75" x14ac:dyDescent="0.3">
      <c r="A3" s="10" t="s">
        <v>7</v>
      </c>
      <c r="B3" s="4"/>
      <c r="C3" s="4"/>
      <c r="D3" s="4"/>
      <c r="E3" s="4"/>
      <c r="F3" s="4"/>
      <c r="G3" s="5"/>
    </row>
    <row r="4" spans="1:35" ht="15.75" x14ac:dyDescent="0.25">
      <c r="A4" s="5"/>
      <c r="B4" s="87" t="s">
        <v>42</v>
      </c>
      <c r="C4" s="87"/>
      <c r="D4" s="87"/>
      <c r="E4" s="87"/>
      <c r="F4" s="87"/>
      <c r="G4" s="87"/>
    </row>
    <row r="5" spans="1:35" ht="15.75" x14ac:dyDescent="0.25">
      <c r="A5" s="5"/>
      <c r="B5" s="59"/>
      <c r="C5" s="59"/>
      <c r="D5" s="59"/>
      <c r="E5" s="59"/>
      <c r="F5" s="59"/>
      <c r="G5" s="59"/>
    </row>
    <row r="6" spans="1:35" s="2" customFormat="1" ht="18.75" x14ac:dyDescent="0.3">
      <c r="A6" s="6"/>
      <c r="B6" s="6"/>
      <c r="C6" s="6"/>
      <c r="D6" s="6"/>
      <c r="E6" s="6"/>
      <c r="F6" s="6"/>
      <c r="G6" s="6"/>
      <c r="I6" s="12" t="s">
        <v>106</v>
      </c>
      <c r="K6" s="12" t="s">
        <v>107</v>
      </c>
      <c r="L6" s="6"/>
      <c r="M6" s="12" t="s">
        <v>108</v>
      </c>
      <c r="N6" s="6"/>
      <c r="O6" s="12" t="s">
        <v>109</v>
      </c>
      <c r="Q6" s="6"/>
      <c r="R6" s="6"/>
      <c r="S6" s="12"/>
    </row>
    <row r="7" spans="1:35" ht="15.75" customHeight="1" x14ac:dyDescent="0.25">
      <c r="A7" s="5"/>
      <c r="B7" s="5"/>
      <c r="C7" s="5"/>
      <c r="D7" s="5"/>
      <c r="E7" s="5"/>
      <c r="F7" s="5"/>
      <c r="G7" s="5"/>
      <c r="I7" s="7"/>
      <c r="J7" s="5"/>
      <c r="K7" s="1"/>
      <c r="L7" s="1"/>
      <c r="M7" s="5"/>
      <c r="N7" s="1"/>
      <c r="O7" s="5"/>
      <c r="Q7" s="1"/>
      <c r="R7" s="1"/>
      <c r="S7" s="5"/>
    </row>
    <row r="8" spans="1:35" ht="15.75" x14ac:dyDescent="0.25">
      <c r="A8" s="5"/>
      <c r="B8" s="5"/>
      <c r="C8" s="5"/>
      <c r="D8" s="5"/>
      <c r="E8" s="5"/>
      <c r="F8" s="5"/>
      <c r="G8" s="5"/>
      <c r="J8" s="58"/>
      <c r="K8" s="5"/>
      <c r="L8" s="58"/>
      <c r="M8" s="5"/>
      <c r="N8" s="58"/>
      <c r="O8" s="5"/>
      <c r="Q8" s="5"/>
      <c r="R8" s="28"/>
      <c r="S8" s="5"/>
    </row>
    <row r="9" spans="1:35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35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35" ht="15.75" x14ac:dyDescent="0.25">
      <c r="A11" s="57" t="s">
        <v>110</v>
      </c>
      <c r="B11" s="9" t="s">
        <v>24</v>
      </c>
      <c r="C11" s="85"/>
      <c r="D11" s="85"/>
      <c r="E11" s="23" t="s">
        <v>107</v>
      </c>
      <c r="F11" s="24" t="s">
        <v>24</v>
      </c>
      <c r="G11" s="47"/>
      <c r="I11" s="23" t="s">
        <v>108</v>
      </c>
      <c r="J11" s="24" t="s">
        <v>24</v>
      </c>
      <c r="K11" s="85"/>
      <c r="L11" s="85"/>
      <c r="M11" s="23" t="s">
        <v>109</v>
      </c>
      <c r="N11" s="24"/>
      <c r="Q11" s="57"/>
      <c r="R11" s="5"/>
      <c r="S11" s="5"/>
    </row>
    <row r="12" spans="1:35" ht="15.75" x14ac:dyDescent="0.25">
      <c r="A12" s="5"/>
      <c r="B12" s="5"/>
      <c r="C12" s="5"/>
      <c r="E12" s="57" t="s">
        <v>111</v>
      </c>
      <c r="F12" s="9" t="s">
        <v>24</v>
      </c>
      <c r="G12" s="58"/>
      <c r="I12" s="57" t="s">
        <v>108</v>
      </c>
      <c r="J12" s="9" t="s">
        <v>24</v>
      </c>
      <c r="K12" s="89"/>
      <c r="L12" s="89"/>
      <c r="M12" s="23" t="s">
        <v>109</v>
      </c>
      <c r="N12" s="9"/>
      <c r="Q12" s="23"/>
      <c r="R12" s="5"/>
      <c r="S12" s="5"/>
    </row>
    <row r="13" spans="1:35" ht="15.75" x14ac:dyDescent="0.25">
      <c r="A13" s="5"/>
      <c r="B13" s="5"/>
      <c r="C13" s="5"/>
      <c r="E13" s="57"/>
      <c r="F13" s="57"/>
      <c r="G13" s="57"/>
      <c r="I13" s="57" t="s">
        <v>112</v>
      </c>
      <c r="J13" s="9" t="s">
        <v>24</v>
      </c>
      <c r="K13" s="89"/>
      <c r="L13" s="89"/>
      <c r="M13" s="23" t="s">
        <v>109</v>
      </c>
      <c r="N13" s="9"/>
      <c r="Q13" s="23"/>
      <c r="R13" s="5"/>
      <c r="S13" s="5"/>
    </row>
    <row r="14" spans="1:35" ht="15.75" x14ac:dyDescent="0.25">
      <c r="A14" s="5"/>
      <c r="B14" s="5"/>
      <c r="C14" s="5"/>
      <c r="E14" s="5"/>
      <c r="F14" s="5"/>
      <c r="G14" s="5"/>
      <c r="I14" s="5"/>
      <c r="J14" s="5"/>
      <c r="K14" s="5"/>
      <c r="L14" s="5"/>
      <c r="M14" s="23"/>
      <c r="N14" s="9"/>
      <c r="Q14" s="23"/>
      <c r="R14" s="5"/>
      <c r="S14" s="5"/>
    </row>
    <row r="15" spans="1:35" ht="15.75" x14ac:dyDescent="0.25"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35" ht="18.75" x14ac:dyDescent="0.3">
      <c r="A16" s="10" t="s">
        <v>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36" ht="15.75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36" ht="15.75" x14ac:dyDescent="0.25">
      <c r="A18" s="88" t="s">
        <v>43</v>
      </c>
      <c r="B18" s="88"/>
      <c r="C18" s="88"/>
      <c r="D18" s="88"/>
      <c r="E18" s="88"/>
      <c r="F18" s="88"/>
      <c r="G18" s="34">
        <v>3</v>
      </c>
      <c r="J18" s="27"/>
      <c r="K18" s="5"/>
      <c r="L18" s="88" t="s">
        <v>43</v>
      </c>
      <c r="M18" s="88"/>
      <c r="N18" s="88"/>
      <c r="O18" s="88"/>
      <c r="P18" s="88"/>
      <c r="Q18" s="88"/>
      <c r="R18" s="88"/>
      <c r="S18" s="88"/>
      <c r="T18" s="34">
        <v>3</v>
      </c>
    </row>
    <row r="19" spans="1:36" ht="15.75" x14ac:dyDescent="0.25">
      <c r="A19" s="5"/>
      <c r="B19" s="5"/>
      <c r="C19" s="5"/>
      <c r="D19" s="5"/>
      <c r="E19" s="5"/>
      <c r="F19" s="5"/>
      <c r="G19" s="5"/>
      <c r="H19" s="5"/>
      <c r="I19" s="39" t="s">
        <v>45</v>
      </c>
      <c r="J19" s="27"/>
      <c r="K19" s="5"/>
      <c r="L19" s="5"/>
      <c r="M19" s="5"/>
      <c r="N19" s="5"/>
      <c r="O19" s="5"/>
      <c r="P19" s="5"/>
      <c r="Q19" s="5"/>
      <c r="R19" s="5"/>
      <c r="S19" s="5"/>
      <c r="T19" s="3"/>
      <c r="U19" s="3"/>
      <c r="AJ19" s="39" t="s">
        <v>45</v>
      </c>
    </row>
    <row r="20" spans="1:36" ht="18.75" x14ac:dyDescent="0.3">
      <c r="A20" s="11" t="s">
        <v>8</v>
      </c>
      <c r="B20" s="57">
        <f>2.13+G18</f>
        <v>5.13</v>
      </c>
      <c r="C20" s="57" t="s">
        <v>106</v>
      </c>
      <c r="D20" s="9" t="s">
        <v>24</v>
      </c>
      <c r="E20" s="90"/>
      <c r="F20" s="90"/>
      <c r="G20" s="57" t="s">
        <v>107</v>
      </c>
      <c r="H20">
        <f>B20*1000</f>
        <v>5130</v>
      </c>
      <c r="I20" s="38" t="str">
        <f t="shared" ref="I20:I25" si="0">IF(E20="","x",IF(E20=H20,"richtig","falsch"))</f>
        <v>x</v>
      </c>
      <c r="J20" s="27"/>
      <c r="L20" s="11" t="s">
        <v>26</v>
      </c>
      <c r="N20" s="23">
        <v>0</v>
      </c>
      <c r="O20" s="57" t="s">
        <v>106</v>
      </c>
      <c r="P20" s="23">
        <f>4+T18</f>
        <v>7</v>
      </c>
      <c r="Q20" s="57" t="s">
        <v>107</v>
      </c>
      <c r="R20" s="57"/>
      <c r="S20" s="23">
        <f>2+T18</f>
        <v>5</v>
      </c>
      <c r="T20" s="57" t="s">
        <v>108</v>
      </c>
      <c r="U20" s="57"/>
      <c r="V20" s="57"/>
      <c r="W20" s="23">
        <v>7</v>
      </c>
      <c r="X20" s="23" t="s">
        <v>109</v>
      </c>
      <c r="Y20" s="23"/>
      <c r="Z20" s="23"/>
      <c r="AA20" s="24" t="s">
        <v>24</v>
      </c>
      <c r="AB20" s="90"/>
      <c r="AC20" s="90"/>
      <c r="AD20" s="90"/>
      <c r="AE20" s="90"/>
      <c r="AF20" s="23" t="s">
        <v>109</v>
      </c>
      <c r="AI20">
        <f>P20*1000+S20*100+W20</f>
        <v>7507</v>
      </c>
      <c r="AJ20" s="38" t="str">
        <f t="shared" ref="AJ20:AJ25" si="1">IF(AB20="","x",IF(AB20=AI20,"richtig","falsch"))</f>
        <v>x</v>
      </c>
    </row>
    <row r="21" spans="1:36" ht="18.75" x14ac:dyDescent="0.3">
      <c r="A21" s="11" t="s">
        <v>9</v>
      </c>
      <c r="B21" s="57">
        <f>$G$18+87.8</f>
        <v>90.8</v>
      </c>
      <c r="C21" s="57" t="s">
        <v>108</v>
      </c>
      <c r="D21" s="9" t="s">
        <v>24</v>
      </c>
      <c r="E21" s="92"/>
      <c r="F21" s="92"/>
      <c r="G21" s="57" t="s">
        <v>109</v>
      </c>
      <c r="H21">
        <f>B21*10</f>
        <v>908</v>
      </c>
      <c r="I21" s="38" t="str">
        <f t="shared" si="0"/>
        <v>x</v>
      </c>
      <c r="J21" s="27"/>
      <c r="L21" s="11" t="s">
        <v>27</v>
      </c>
      <c r="N21" s="57">
        <f>4+T18</f>
        <v>7</v>
      </c>
      <c r="O21" s="57" t="s">
        <v>106</v>
      </c>
      <c r="P21" s="57">
        <f>520+T18</f>
        <v>523</v>
      </c>
      <c r="Q21" s="57" t="s">
        <v>107</v>
      </c>
      <c r="R21" s="57"/>
      <c r="S21" s="57">
        <v>0</v>
      </c>
      <c r="T21" s="57" t="s">
        <v>108</v>
      </c>
      <c r="U21" s="57"/>
      <c r="V21" s="57"/>
      <c r="W21" s="23">
        <v>0</v>
      </c>
      <c r="X21" s="23" t="s">
        <v>109</v>
      </c>
      <c r="Y21" s="23"/>
      <c r="Z21" s="23"/>
      <c r="AA21" s="24" t="s">
        <v>24</v>
      </c>
      <c r="AB21" s="90"/>
      <c r="AC21" s="90"/>
      <c r="AD21" s="90"/>
      <c r="AE21" s="90"/>
      <c r="AF21" s="23" t="s">
        <v>107</v>
      </c>
      <c r="AI21">
        <f>N21*1000+P21</f>
        <v>7523</v>
      </c>
      <c r="AJ21" s="38" t="str">
        <f t="shared" si="1"/>
        <v>x</v>
      </c>
    </row>
    <row r="22" spans="1:36" ht="18.75" x14ac:dyDescent="0.3">
      <c r="A22" s="11" t="s">
        <v>10</v>
      </c>
      <c r="B22" s="57">
        <f>$G$18+360</f>
        <v>363</v>
      </c>
      <c r="C22" s="57" t="s">
        <v>107</v>
      </c>
      <c r="D22" s="9" t="s">
        <v>24</v>
      </c>
      <c r="E22" s="92"/>
      <c r="F22" s="92"/>
      <c r="G22" s="57" t="s">
        <v>108</v>
      </c>
      <c r="H22">
        <f>363*100</f>
        <v>36300</v>
      </c>
      <c r="I22" s="38" t="str">
        <f t="shared" si="0"/>
        <v>x</v>
      </c>
      <c r="J22" s="27"/>
      <c r="L22" s="11" t="s">
        <v>28</v>
      </c>
      <c r="N22" s="57">
        <v>0</v>
      </c>
      <c r="O22" s="57" t="s">
        <v>106</v>
      </c>
      <c r="P22" s="57">
        <v>2</v>
      </c>
      <c r="Q22" s="57" t="s">
        <v>107</v>
      </c>
      <c r="R22" s="57"/>
      <c r="S22" s="57">
        <v>7</v>
      </c>
      <c r="T22" s="57" t="s">
        <v>108</v>
      </c>
      <c r="U22" s="57"/>
      <c r="V22" s="57"/>
      <c r="W22" s="23">
        <f>1+T18</f>
        <v>4</v>
      </c>
      <c r="X22" s="23" t="s">
        <v>109</v>
      </c>
      <c r="Y22" s="23"/>
      <c r="Z22" s="23"/>
      <c r="AA22" s="24" t="s">
        <v>24</v>
      </c>
      <c r="AB22" s="90"/>
      <c r="AC22" s="90"/>
      <c r="AD22" s="90"/>
      <c r="AE22" s="90"/>
      <c r="AF22" s="23" t="s">
        <v>108</v>
      </c>
      <c r="AI22">
        <f>P22*100+S22+W22/10</f>
        <v>207.4</v>
      </c>
      <c r="AJ22" s="38" t="str">
        <f t="shared" si="1"/>
        <v>x</v>
      </c>
    </row>
    <row r="23" spans="1:36" ht="18.75" x14ac:dyDescent="0.3">
      <c r="A23" s="11" t="s">
        <v>11</v>
      </c>
      <c r="B23" s="57">
        <f>$G$18+68.3</f>
        <v>71.3</v>
      </c>
      <c r="C23" s="57" t="s">
        <v>107</v>
      </c>
      <c r="D23" s="9" t="s">
        <v>24</v>
      </c>
      <c r="E23" s="92"/>
      <c r="F23" s="92"/>
      <c r="G23" s="57" t="s">
        <v>109</v>
      </c>
      <c r="H23">
        <f>B23*1000</f>
        <v>71300</v>
      </c>
      <c r="I23" s="38" t="str">
        <f t="shared" si="0"/>
        <v>x</v>
      </c>
      <c r="J23" s="27"/>
      <c r="L23" s="11" t="s">
        <v>29</v>
      </c>
      <c r="N23" s="57">
        <v>0</v>
      </c>
      <c r="O23" s="57" t="s">
        <v>106</v>
      </c>
      <c r="P23" s="57">
        <v>0</v>
      </c>
      <c r="Q23" s="57" t="s">
        <v>107</v>
      </c>
      <c r="R23" s="57"/>
      <c r="S23" s="57">
        <v>35</v>
      </c>
      <c r="T23" s="57" t="s">
        <v>108</v>
      </c>
      <c r="U23" s="57"/>
      <c r="V23" s="57"/>
      <c r="W23" s="23">
        <f>3+T18</f>
        <v>6</v>
      </c>
      <c r="X23" s="23" t="s">
        <v>109</v>
      </c>
      <c r="Y23" s="23"/>
      <c r="Z23" s="23"/>
      <c r="AA23" s="24" t="s">
        <v>24</v>
      </c>
      <c r="AB23" s="90"/>
      <c r="AC23" s="90"/>
      <c r="AD23" s="90"/>
      <c r="AE23" s="90"/>
      <c r="AF23" s="23" t="s">
        <v>109</v>
      </c>
      <c r="AI23">
        <f>S23*10+W23</f>
        <v>356</v>
      </c>
      <c r="AJ23" s="38" t="str">
        <f t="shared" si="1"/>
        <v>x</v>
      </c>
    </row>
    <row r="24" spans="1:36" ht="18.75" x14ac:dyDescent="0.3">
      <c r="A24" s="11" t="s">
        <v>12</v>
      </c>
      <c r="B24" s="57">
        <f>$G$18+20</f>
        <v>23</v>
      </c>
      <c r="C24" s="57" t="s">
        <v>106</v>
      </c>
      <c r="D24" s="9" t="s">
        <v>24</v>
      </c>
      <c r="E24" s="92"/>
      <c r="F24" s="92"/>
      <c r="G24" s="57" t="s">
        <v>107</v>
      </c>
      <c r="H24">
        <f>B24*1000</f>
        <v>23000</v>
      </c>
      <c r="I24" s="38" t="str">
        <f t="shared" si="0"/>
        <v>x</v>
      </c>
      <c r="J24" s="27"/>
      <c r="L24" s="11" t="s">
        <v>30</v>
      </c>
      <c r="N24" s="57">
        <v>4</v>
      </c>
      <c r="O24" s="57" t="s">
        <v>106</v>
      </c>
      <c r="P24" s="57">
        <f>341+T18</f>
        <v>344</v>
      </c>
      <c r="Q24" s="57" t="s">
        <v>107</v>
      </c>
      <c r="R24" s="57"/>
      <c r="S24" s="57">
        <v>0</v>
      </c>
      <c r="T24" s="57" t="s">
        <v>108</v>
      </c>
      <c r="U24" s="57"/>
      <c r="V24" s="57"/>
      <c r="W24" s="23">
        <v>0</v>
      </c>
      <c r="X24" s="23" t="s">
        <v>109</v>
      </c>
      <c r="Y24" s="23"/>
      <c r="Z24" s="23"/>
      <c r="AA24" s="24" t="s">
        <v>24</v>
      </c>
      <c r="AB24" s="90"/>
      <c r="AC24" s="90"/>
      <c r="AD24" s="90"/>
      <c r="AE24" s="90"/>
      <c r="AF24" s="23" t="s">
        <v>106</v>
      </c>
      <c r="AI24">
        <f>N24+P24/1000</f>
        <v>4.3440000000000003</v>
      </c>
      <c r="AJ24" s="38" t="str">
        <f t="shared" si="1"/>
        <v>x</v>
      </c>
    </row>
    <row r="25" spans="1:36" ht="18.75" x14ac:dyDescent="0.3">
      <c r="A25" s="11" t="s">
        <v>13</v>
      </c>
      <c r="B25" s="57">
        <f>$G$18+2</f>
        <v>5</v>
      </c>
      <c r="C25" s="57" t="s">
        <v>106</v>
      </c>
      <c r="D25" s="9" t="s">
        <v>24</v>
      </c>
      <c r="E25" s="92"/>
      <c r="F25" s="92"/>
      <c r="G25" s="57" t="s">
        <v>108</v>
      </c>
      <c r="H25">
        <f>B25*100000</f>
        <v>500000</v>
      </c>
      <c r="I25" s="38" t="str">
        <f t="shared" si="0"/>
        <v>x</v>
      </c>
      <c r="J25" s="27"/>
      <c r="L25" s="11" t="s">
        <v>31</v>
      </c>
      <c r="N25" s="57">
        <f>3+T18</f>
        <v>6</v>
      </c>
      <c r="O25" s="57" t="s">
        <v>106</v>
      </c>
      <c r="P25" s="57">
        <v>87</v>
      </c>
      <c r="Q25" s="57" t="s">
        <v>107</v>
      </c>
      <c r="R25" s="57"/>
      <c r="S25" s="57">
        <v>9</v>
      </c>
      <c r="T25" s="57" t="s">
        <v>108</v>
      </c>
      <c r="U25" s="57"/>
      <c r="V25" s="57"/>
      <c r="W25" s="23">
        <v>2</v>
      </c>
      <c r="X25" s="23" t="s">
        <v>109</v>
      </c>
      <c r="Y25" s="23"/>
      <c r="Z25" s="23"/>
      <c r="AA25" s="24" t="s">
        <v>24</v>
      </c>
      <c r="AB25" s="90"/>
      <c r="AC25" s="90"/>
      <c r="AD25" s="90"/>
      <c r="AE25" s="90"/>
      <c r="AF25" s="23" t="s">
        <v>107</v>
      </c>
      <c r="AI25">
        <f>N25*1000+P25+S25/100+W25/1000</f>
        <v>6087.0920000000006</v>
      </c>
      <c r="AJ25" s="38" t="str">
        <f t="shared" si="1"/>
        <v>x</v>
      </c>
    </row>
    <row r="26" spans="1:36" ht="18.75" x14ac:dyDescent="0.3">
      <c r="A26" s="11"/>
      <c r="B26" s="57"/>
      <c r="C26" s="57"/>
      <c r="D26" s="9"/>
      <c r="E26" s="57"/>
      <c r="F26" s="57"/>
      <c r="G26" s="57"/>
      <c r="I26" s="57"/>
      <c r="J26" s="27"/>
      <c r="L26" s="22"/>
      <c r="M26" s="22"/>
      <c r="N26" s="17"/>
      <c r="O26" s="17"/>
      <c r="P26" s="17"/>
      <c r="Q26" s="17"/>
      <c r="R26" s="17"/>
      <c r="S26" s="17"/>
      <c r="T26" s="17"/>
      <c r="U26" s="17"/>
      <c r="V26" s="17"/>
      <c r="W26" s="76"/>
      <c r="X26" s="76"/>
      <c r="Y26" s="76"/>
      <c r="Z26" s="76"/>
      <c r="AA26" s="76"/>
      <c r="AB26" s="76"/>
      <c r="AC26" s="76"/>
      <c r="AD26" s="76"/>
      <c r="AE26" s="77"/>
      <c r="AF26" s="22"/>
      <c r="AG26" s="61"/>
      <c r="AH26" s="61"/>
      <c r="AI26" s="76"/>
    </row>
    <row r="27" spans="1:36" ht="18.75" x14ac:dyDescent="0.3">
      <c r="A27" s="16"/>
      <c r="B27" s="17"/>
      <c r="C27" s="17"/>
      <c r="D27" s="18"/>
      <c r="E27" s="17"/>
      <c r="F27" s="17"/>
      <c r="G27" s="17"/>
      <c r="H27" s="22"/>
      <c r="I27" s="17"/>
      <c r="J27" s="27"/>
      <c r="N27" s="57"/>
      <c r="O27" s="57"/>
      <c r="P27" s="57"/>
      <c r="Q27" s="57"/>
      <c r="R27" s="57"/>
      <c r="S27" s="57"/>
      <c r="T27" s="57"/>
      <c r="U27" s="57"/>
      <c r="V27" s="57"/>
      <c r="W27" s="23"/>
      <c r="X27" s="23"/>
      <c r="Y27" s="23"/>
      <c r="Z27" s="23"/>
      <c r="AA27" s="23"/>
      <c r="AB27" s="23"/>
      <c r="AC27" s="23"/>
      <c r="AD27" s="23"/>
      <c r="AE27" s="24"/>
      <c r="AG27" s="31"/>
      <c r="AH27" s="31"/>
      <c r="AI27" s="23"/>
    </row>
    <row r="28" spans="1:36" ht="18.75" x14ac:dyDescent="0.3">
      <c r="A28" s="14"/>
      <c r="B28" s="15"/>
      <c r="C28" s="15"/>
      <c r="D28" s="20"/>
      <c r="E28" s="15"/>
      <c r="F28" s="15"/>
      <c r="G28" s="13"/>
      <c r="H28" s="5"/>
      <c r="I28" s="5"/>
      <c r="J28" s="27"/>
      <c r="K28" s="14"/>
      <c r="L28" s="11" t="s">
        <v>32</v>
      </c>
      <c r="M28" s="101">
        <f>2432.21+T18</f>
        <v>2435.21</v>
      </c>
      <c r="N28" s="101"/>
      <c r="O28" s="57" t="s">
        <v>107</v>
      </c>
      <c r="P28" s="9" t="s">
        <v>24</v>
      </c>
      <c r="Q28" s="37"/>
      <c r="R28" s="30">
        <f>TRUNC(M28,0)</f>
        <v>2435</v>
      </c>
      <c r="S28" s="57" t="s">
        <v>106</v>
      </c>
      <c r="T28" s="37"/>
      <c r="U28" s="30">
        <f>TRUNC(M28*1000-R28*1000)</f>
        <v>210</v>
      </c>
      <c r="V28" s="30">
        <f t="shared" ref="V28:V33" si="2">TRUNC(U28,0)</f>
        <v>210</v>
      </c>
      <c r="W28" s="57" t="s">
        <v>107</v>
      </c>
      <c r="X28" s="56"/>
      <c r="Y28" s="31">
        <f>M28*10000-R28*10000-U28*10</f>
        <v>0</v>
      </c>
      <c r="Z28" s="31">
        <f t="shared" ref="Z28:Z33" si="3">TRUNC(Y28,0)</f>
        <v>0</v>
      </c>
      <c r="AA28" s="57" t="s">
        <v>108</v>
      </c>
      <c r="AB28" s="56"/>
      <c r="AC28" s="31"/>
      <c r="AD28" s="31"/>
      <c r="AE28" s="57" t="s">
        <v>109</v>
      </c>
      <c r="AG28" s="31"/>
      <c r="AH28" s="31"/>
      <c r="AI28" s="57"/>
    </row>
    <row r="29" spans="1:36" ht="18.75" x14ac:dyDescent="0.3">
      <c r="A29" s="14" t="s">
        <v>14</v>
      </c>
      <c r="B29" s="15">
        <f>$G$18+245</f>
        <v>248</v>
      </c>
      <c r="C29" s="15" t="s">
        <v>109</v>
      </c>
      <c r="D29" s="20" t="s">
        <v>24</v>
      </c>
      <c r="E29" s="90"/>
      <c r="F29" s="90"/>
      <c r="G29" s="15" t="s">
        <v>108</v>
      </c>
      <c r="H29">
        <f>B29/10</f>
        <v>24.8</v>
      </c>
      <c r="I29" s="38" t="str">
        <f t="shared" ref="I29:I34" si="4">IF(E29="","x",IF(E29=H29,"richtig","falsch"))</f>
        <v>x</v>
      </c>
      <c r="J29" s="27"/>
      <c r="K29" s="14"/>
      <c r="L29" s="11" t="s">
        <v>33</v>
      </c>
      <c r="M29" s="101">
        <f>4.993+T18</f>
        <v>7.9930000000000003</v>
      </c>
      <c r="N29" s="101"/>
      <c r="O29" s="57" t="s">
        <v>107</v>
      </c>
      <c r="P29" s="9" t="s">
        <v>24</v>
      </c>
      <c r="Q29" s="56"/>
      <c r="R29" s="31">
        <f>TRUNC(M29/1000,0)</f>
        <v>0</v>
      </c>
      <c r="S29" s="57" t="s">
        <v>106</v>
      </c>
      <c r="T29" s="56"/>
      <c r="U29" s="31">
        <f>TRUNC(M29-R29*1000,0)</f>
        <v>7</v>
      </c>
      <c r="V29" s="31">
        <f t="shared" si="2"/>
        <v>7</v>
      </c>
      <c r="W29" s="57" t="s">
        <v>107</v>
      </c>
      <c r="X29" s="56"/>
      <c r="Y29" s="31">
        <f>M29*10-Q29*10000-T29*10</f>
        <v>79.930000000000007</v>
      </c>
      <c r="Z29" s="31">
        <f t="shared" si="3"/>
        <v>79</v>
      </c>
      <c r="AA29" s="57" t="s">
        <v>108</v>
      </c>
      <c r="AB29" s="56"/>
      <c r="AC29" s="31">
        <f>M29*100-Q29*100000-T29*100-X29*10</f>
        <v>799.30000000000007</v>
      </c>
      <c r="AD29" s="31">
        <f>TRUNC(AC29,0)</f>
        <v>799</v>
      </c>
      <c r="AE29" s="57" t="s">
        <v>109</v>
      </c>
      <c r="AG29" s="31"/>
      <c r="AH29" s="31"/>
      <c r="AI29" s="57"/>
    </row>
    <row r="30" spans="1:36" ht="18.75" x14ac:dyDescent="0.3">
      <c r="A30" s="11" t="s">
        <v>15</v>
      </c>
      <c r="B30" s="57">
        <f>$G$18+660</f>
        <v>663</v>
      </c>
      <c r="C30" s="57" t="s">
        <v>108</v>
      </c>
      <c r="D30" s="9" t="s">
        <v>24</v>
      </c>
      <c r="E30" s="90"/>
      <c r="F30" s="90"/>
      <c r="G30" s="57" t="s">
        <v>107</v>
      </c>
      <c r="H30">
        <f>B30/100</f>
        <v>6.63</v>
      </c>
      <c r="I30" s="38" t="str">
        <f t="shared" si="4"/>
        <v>x</v>
      </c>
      <c r="J30" s="27"/>
      <c r="L30" s="11" t="s">
        <v>34</v>
      </c>
      <c r="M30" s="101">
        <f>4.087+T18</f>
        <v>7.0869999999999997</v>
      </c>
      <c r="N30" s="101"/>
      <c r="O30" s="57" t="s">
        <v>106</v>
      </c>
      <c r="P30" s="9" t="s">
        <v>24</v>
      </c>
      <c r="Q30" s="56"/>
      <c r="R30" s="31"/>
      <c r="S30" s="57" t="s">
        <v>106</v>
      </c>
      <c r="T30" s="56"/>
      <c r="U30" s="31">
        <f>TRUNC((M30-Q30*1000)/10,0)</f>
        <v>0</v>
      </c>
      <c r="V30" s="31">
        <f t="shared" si="2"/>
        <v>0</v>
      </c>
      <c r="W30" s="57" t="s">
        <v>107</v>
      </c>
      <c r="X30" s="56"/>
      <c r="Y30" s="31">
        <f>TRUNC(M30-R30*10000-V30*10)</f>
        <v>7</v>
      </c>
      <c r="Z30" s="31">
        <f t="shared" si="3"/>
        <v>7</v>
      </c>
      <c r="AA30" s="57" t="s">
        <v>108</v>
      </c>
      <c r="AB30" s="56"/>
      <c r="AC30" s="31">
        <f>TRUNC(M30*10-R30*100000-V30*100-Z30*10)</f>
        <v>0</v>
      </c>
      <c r="AD30" s="31">
        <f>TRUNC(AC30,0)</f>
        <v>0</v>
      </c>
      <c r="AE30" s="57" t="s">
        <v>109</v>
      </c>
      <c r="AG30" s="31"/>
      <c r="AH30" s="31"/>
      <c r="AI30" s="57"/>
    </row>
    <row r="31" spans="1:36" ht="18.75" x14ac:dyDescent="0.3">
      <c r="A31" s="11" t="s">
        <v>16</v>
      </c>
      <c r="B31" s="57">
        <f>$G$18+1540</f>
        <v>1543</v>
      </c>
      <c r="C31" s="57" t="s">
        <v>109</v>
      </c>
      <c r="D31" s="9" t="s">
        <v>24</v>
      </c>
      <c r="E31" s="90"/>
      <c r="F31" s="90"/>
      <c r="G31" s="57" t="s">
        <v>107</v>
      </c>
      <c r="H31">
        <f>B31/1000</f>
        <v>1.5429999999999999</v>
      </c>
      <c r="I31" s="38" t="str">
        <f t="shared" si="4"/>
        <v>x</v>
      </c>
      <c r="J31" s="27"/>
      <c r="L31" s="11" t="s">
        <v>35</v>
      </c>
      <c r="M31" s="101">
        <f>2362.8+T18</f>
        <v>2365.8000000000002</v>
      </c>
      <c r="N31" s="101"/>
      <c r="O31" s="57" t="s">
        <v>108</v>
      </c>
      <c r="P31" s="9" t="s">
        <v>24</v>
      </c>
      <c r="Q31" s="56"/>
      <c r="R31" s="31"/>
      <c r="S31" s="57" t="s">
        <v>106</v>
      </c>
      <c r="T31" s="56"/>
      <c r="U31" s="31">
        <f>TRUNC((M31-R31*100000)/100)</f>
        <v>23</v>
      </c>
      <c r="V31" s="31">
        <f t="shared" si="2"/>
        <v>23</v>
      </c>
      <c r="W31" s="57" t="s">
        <v>107</v>
      </c>
      <c r="X31" s="56"/>
      <c r="Y31" s="31">
        <f>TRUNC((M31-R31*100000-V31*100)/10)</f>
        <v>6</v>
      </c>
      <c r="Z31" s="31">
        <f t="shared" si="3"/>
        <v>6</v>
      </c>
      <c r="AA31" s="57" t="s">
        <v>108</v>
      </c>
      <c r="AB31" s="37"/>
      <c r="AC31" s="31">
        <f>TRUNC(M31-R31*100000-V31*100-Z31*10)</f>
        <v>5</v>
      </c>
      <c r="AD31" s="31">
        <f>TRUNC(AC31,0)</f>
        <v>5</v>
      </c>
      <c r="AE31" s="57" t="s">
        <v>109</v>
      </c>
      <c r="AG31" s="31"/>
      <c r="AH31" s="31"/>
      <c r="AI31" s="57"/>
    </row>
    <row r="32" spans="1:36" ht="18.75" x14ac:dyDescent="0.3">
      <c r="A32" s="11" t="s">
        <v>17</v>
      </c>
      <c r="B32" s="57">
        <f>$G$18+2300</f>
        <v>2303</v>
      </c>
      <c r="C32" s="57" t="s">
        <v>107</v>
      </c>
      <c r="D32" s="9" t="s">
        <v>24</v>
      </c>
      <c r="E32" s="90"/>
      <c r="F32" s="90"/>
      <c r="G32" s="57" t="s">
        <v>106</v>
      </c>
      <c r="H32">
        <f>B32/1000</f>
        <v>2.3029999999999999</v>
      </c>
      <c r="I32" s="38" t="str">
        <f t="shared" si="4"/>
        <v>x</v>
      </c>
      <c r="J32" s="27"/>
      <c r="L32" s="11" t="s">
        <v>36</v>
      </c>
      <c r="M32" s="101">
        <f>9452+T18</f>
        <v>9455</v>
      </c>
      <c r="N32" s="101"/>
      <c r="O32" s="57" t="s">
        <v>109</v>
      </c>
      <c r="P32" s="9" t="s">
        <v>24</v>
      </c>
      <c r="Q32" s="56"/>
      <c r="R32" s="31"/>
      <c r="S32" s="57" t="s">
        <v>106</v>
      </c>
      <c r="T32" s="56"/>
      <c r="U32" s="31">
        <f>TRUNC((M32-R32*1000000)/1000)</f>
        <v>9</v>
      </c>
      <c r="V32" s="31">
        <f t="shared" si="2"/>
        <v>9</v>
      </c>
      <c r="W32" s="57" t="s">
        <v>107</v>
      </c>
      <c r="X32" s="56"/>
      <c r="Y32" s="31">
        <f>TRUNC((M32-R32*100000-V32*1000)/100)</f>
        <v>4</v>
      </c>
      <c r="Z32" s="31">
        <f t="shared" si="3"/>
        <v>4</v>
      </c>
      <c r="AA32" s="57" t="s">
        <v>108</v>
      </c>
      <c r="AB32" s="56"/>
      <c r="AC32" s="31">
        <f>TRUNC((M32-R32*100000-V32*1000-Z32*100)/10)</f>
        <v>5</v>
      </c>
      <c r="AD32" s="31">
        <f>TRUNC(AC32,0)</f>
        <v>5</v>
      </c>
      <c r="AE32" s="57" t="s">
        <v>109</v>
      </c>
      <c r="AG32" s="31"/>
      <c r="AH32" s="31"/>
      <c r="AI32" s="57"/>
    </row>
    <row r="33" spans="1:35" ht="18.75" x14ac:dyDescent="0.3">
      <c r="A33" s="11" t="s">
        <v>18</v>
      </c>
      <c r="B33" s="57">
        <f>$G$18+1886</f>
        <v>1889</v>
      </c>
      <c r="C33" s="57" t="s">
        <v>108</v>
      </c>
      <c r="D33" s="9" t="s">
        <v>24</v>
      </c>
      <c r="E33" s="90"/>
      <c r="F33" s="90"/>
      <c r="G33" s="57" t="s">
        <v>107</v>
      </c>
      <c r="H33">
        <f>B33/100</f>
        <v>18.89</v>
      </c>
      <c r="I33" s="38" t="str">
        <f t="shared" si="4"/>
        <v>x</v>
      </c>
      <c r="J33" s="27"/>
      <c r="L33" s="11" t="s">
        <v>37</v>
      </c>
      <c r="M33" s="101">
        <f>2.43236+T18</f>
        <v>5.4323600000000001</v>
      </c>
      <c r="N33" s="101"/>
      <c r="O33" s="57" t="s">
        <v>106</v>
      </c>
      <c r="P33" s="9" t="s">
        <v>24</v>
      </c>
      <c r="Q33" s="56"/>
      <c r="R33" s="31"/>
      <c r="S33" s="57" t="s">
        <v>106</v>
      </c>
      <c r="T33" s="56"/>
      <c r="U33" s="31">
        <f>TRUNC(M33-R33*1000)</f>
        <v>5</v>
      </c>
      <c r="V33" s="31">
        <f t="shared" si="2"/>
        <v>5</v>
      </c>
      <c r="W33" s="57" t="s">
        <v>107</v>
      </c>
      <c r="X33" s="56"/>
      <c r="Y33" s="31">
        <f>TRUNC(M33*10-R33*10000-V33*10)</f>
        <v>4</v>
      </c>
      <c r="Z33" s="31">
        <f t="shared" si="3"/>
        <v>4</v>
      </c>
      <c r="AA33" s="57" t="s">
        <v>108</v>
      </c>
      <c r="AB33" s="56"/>
      <c r="AC33" s="31">
        <f>TRUNC(M33*100-R33*100000-V33*100-Z33*10)</f>
        <v>3</v>
      </c>
      <c r="AD33" s="31">
        <f>TRUNC(AC33,0)</f>
        <v>3</v>
      </c>
      <c r="AE33" s="57" t="s">
        <v>109</v>
      </c>
      <c r="AG33" s="31"/>
      <c r="AH33" s="31"/>
      <c r="AI33" s="57"/>
    </row>
    <row r="34" spans="1:35" ht="18.75" x14ac:dyDescent="0.3">
      <c r="A34" s="11" t="s">
        <v>19</v>
      </c>
      <c r="B34" s="57">
        <f>$G$18+764</f>
        <v>767</v>
      </c>
      <c r="C34" s="57" t="s">
        <v>109</v>
      </c>
      <c r="D34" s="9" t="s">
        <v>24</v>
      </c>
      <c r="E34" s="90"/>
      <c r="F34" s="90"/>
      <c r="G34" s="57" t="s">
        <v>107</v>
      </c>
      <c r="H34">
        <f>B34/1000</f>
        <v>0.76700000000000002</v>
      </c>
      <c r="I34" s="38" t="str">
        <f t="shared" si="4"/>
        <v>x</v>
      </c>
      <c r="J34" s="27"/>
      <c r="L34" s="11"/>
      <c r="M34" s="91"/>
      <c r="N34" s="91"/>
      <c r="O34" s="57"/>
      <c r="P34" s="9"/>
      <c r="R34" s="31"/>
      <c r="S34" s="57"/>
      <c r="U34" s="31"/>
      <c r="V34" s="31"/>
      <c r="W34" s="57"/>
      <c r="Y34" s="31"/>
      <c r="Z34" s="31"/>
      <c r="AA34" s="57"/>
      <c r="AC34" s="31"/>
      <c r="AD34" s="31"/>
      <c r="AE34" s="57"/>
      <c r="AG34" s="31"/>
      <c r="AH34" s="31"/>
      <c r="AI34" s="57"/>
    </row>
    <row r="35" spans="1:35" ht="18.75" x14ac:dyDescent="0.3">
      <c r="A35" s="11"/>
      <c r="B35" s="57"/>
      <c r="C35" s="57"/>
      <c r="D35" s="9"/>
      <c r="G35" s="57"/>
      <c r="J35" s="27"/>
      <c r="L35" s="11"/>
      <c r="M35" s="91"/>
      <c r="N35" s="91"/>
      <c r="O35" s="57"/>
      <c r="P35" s="93" t="s">
        <v>44</v>
      </c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G35" s="31"/>
      <c r="AH35" s="31"/>
      <c r="AI35" s="57"/>
    </row>
    <row r="36" spans="1:35" ht="18.75" x14ac:dyDescent="0.3">
      <c r="A36" s="11"/>
      <c r="B36" s="57"/>
      <c r="C36" s="57"/>
      <c r="D36" s="9"/>
      <c r="G36" s="57"/>
      <c r="J36" s="27"/>
    </row>
    <row r="37" spans="1:35" ht="18.75" x14ac:dyDescent="0.3">
      <c r="A37" s="11"/>
      <c r="B37" s="57"/>
      <c r="C37" s="57"/>
      <c r="D37" s="57"/>
      <c r="E37" s="57"/>
      <c r="F37" s="57"/>
      <c r="G37" s="5"/>
      <c r="H37" s="5"/>
      <c r="I37" s="5"/>
      <c r="J37" s="27"/>
    </row>
    <row r="38" spans="1:35" ht="15.75" x14ac:dyDescent="0.25">
      <c r="J38" s="5"/>
      <c r="L38" s="5"/>
      <c r="N38" s="5"/>
    </row>
    <row r="39" spans="1:35" ht="15.75" x14ac:dyDescent="0.25">
      <c r="A39" s="5"/>
      <c r="B39" s="5"/>
      <c r="C39" s="5"/>
      <c r="D39" s="5"/>
      <c r="E39" s="5"/>
      <c r="F39" s="5"/>
      <c r="G39" s="5"/>
      <c r="I39" s="5"/>
      <c r="J39" s="5"/>
      <c r="L39" s="5"/>
      <c r="M39" s="5"/>
      <c r="N39" s="32"/>
      <c r="O39" s="32"/>
    </row>
    <row r="40" spans="1:35" ht="18.75" x14ac:dyDescent="0.3">
      <c r="A40" s="10"/>
      <c r="B40" s="4"/>
      <c r="C40" s="4"/>
      <c r="D40" s="4"/>
      <c r="E40" s="4"/>
      <c r="F40" s="5"/>
      <c r="G40" s="5"/>
      <c r="H40" s="5"/>
      <c r="I40" s="5"/>
      <c r="J40" s="5"/>
      <c r="L40" s="5"/>
      <c r="M40" s="5"/>
      <c r="N40" s="5"/>
    </row>
    <row r="41" spans="1:35" ht="18.75" x14ac:dyDescent="0.3">
      <c r="A41" s="10"/>
      <c r="B41" s="5"/>
      <c r="C41" s="5"/>
      <c r="D41" s="5"/>
      <c r="E41" s="5"/>
      <c r="F41" s="5"/>
      <c r="G41" s="5"/>
      <c r="H41" s="5"/>
      <c r="I41" s="5"/>
      <c r="J41" s="5"/>
      <c r="L41" s="5"/>
      <c r="M41" s="5"/>
      <c r="N41" s="5"/>
    </row>
    <row r="42" spans="1:35" ht="15.75" x14ac:dyDescent="0.25">
      <c r="B42" s="5"/>
      <c r="C42" s="5"/>
      <c r="D42" s="5"/>
      <c r="E42" s="5"/>
      <c r="F42" s="5"/>
      <c r="G42" s="5"/>
      <c r="H42" s="5"/>
      <c r="I42" s="5"/>
      <c r="J42" s="5"/>
      <c r="L42" s="5"/>
      <c r="M42" s="5"/>
      <c r="N42" s="5"/>
    </row>
    <row r="43" spans="1:35" ht="18.75" x14ac:dyDescent="0.3">
      <c r="A43" s="11"/>
    </row>
    <row r="44" spans="1:35" ht="18.75" x14ac:dyDescent="0.3">
      <c r="A44" s="11"/>
    </row>
    <row r="45" spans="1:35" ht="18.75" x14ac:dyDescent="0.3">
      <c r="A45" s="11"/>
      <c r="P45" s="5"/>
      <c r="Q45" s="5"/>
      <c r="R45" s="5"/>
      <c r="S45" s="5"/>
    </row>
    <row r="46" spans="1:35" ht="18.75" x14ac:dyDescent="0.3">
      <c r="A46" s="11"/>
      <c r="P46" s="5"/>
      <c r="Q46" s="5"/>
      <c r="R46" s="5"/>
      <c r="S46" s="5"/>
    </row>
    <row r="47" spans="1:35" ht="18.75" x14ac:dyDescent="0.3">
      <c r="A47" s="11"/>
      <c r="P47" s="5"/>
      <c r="Q47" s="5"/>
      <c r="R47" s="5"/>
      <c r="S47" s="5"/>
    </row>
    <row r="48" spans="1:35" ht="18.75" x14ac:dyDescent="0.3">
      <c r="A48" s="11"/>
      <c r="P48" s="5"/>
      <c r="Q48" s="5"/>
      <c r="R48" s="5"/>
      <c r="S48" s="5"/>
    </row>
    <row r="49" spans="1:19" ht="18.75" x14ac:dyDescent="0.3">
      <c r="A49" s="11"/>
      <c r="P49" s="5"/>
      <c r="Q49" s="5"/>
      <c r="R49" s="5"/>
      <c r="S49" s="5"/>
    </row>
    <row r="50" spans="1:19" ht="18.75" x14ac:dyDescent="0.3">
      <c r="A50" s="11"/>
      <c r="P50" s="5"/>
      <c r="Q50" s="5"/>
      <c r="R50" s="5"/>
      <c r="S50" s="5"/>
    </row>
    <row r="51" spans="1:19" ht="15.75" x14ac:dyDescent="0.25">
      <c r="P51" s="5"/>
      <c r="Q51" s="5"/>
      <c r="R51" s="5"/>
      <c r="S51" s="5"/>
    </row>
    <row r="52" spans="1:19" ht="15.75" x14ac:dyDescent="0.25">
      <c r="P52" s="5"/>
      <c r="Q52" s="5"/>
      <c r="R52" s="5"/>
      <c r="S52" s="5"/>
    </row>
    <row r="53" spans="1:19" ht="18.75" x14ac:dyDescent="0.3">
      <c r="A53" s="14"/>
      <c r="B53" s="5"/>
      <c r="C53" s="5"/>
      <c r="E53" s="5"/>
      <c r="G53" s="5"/>
      <c r="J53" s="5"/>
      <c r="L53" s="5"/>
      <c r="M53" s="5"/>
      <c r="O53" s="5"/>
      <c r="P53" s="5"/>
      <c r="Q53" s="5"/>
      <c r="R53" s="5"/>
      <c r="S53" s="5"/>
    </row>
    <row r="54" spans="1:19" ht="18.75" x14ac:dyDescent="0.3">
      <c r="A54" s="11"/>
      <c r="B54" s="5"/>
      <c r="C54" s="5"/>
      <c r="E54" s="5"/>
      <c r="G54" s="5"/>
      <c r="J54" s="5"/>
      <c r="L54" s="5"/>
      <c r="M54" s="5"/>
      <c r="O54" s="5"/>
      <c r="P54" s="5"/>
      <c r="Q54" s="5"/>
      <c r="R54" s="5"/>
      <c r="S54" s="5"/>
    </row>
    <row r="55" spans="1:19" ht="18.75" x14ac:dyDescent="0.3">
      <c r="A55" s="11"/>
      <c r="B55" s="5"/>
      <c r="C55" s="5"/>
      <c r="E55" s="5"/>
      <c r="G55" s="5"/>
      <c r="J55" s="5"/>
      <c r="L55" s="5"/>
      <c r="M55" s="5"/>
      <c r="O55" s="5"/>
      <c r="P55" s="5"/>
      <c r="Q55" s="5"/>
      <c r="R55" s="5"/>
      <c r="S55" s="5"/>
    </row>
    <row r="56" spans="1:19" ht="18.75" x14ac:dyDescent="0.3">
      <c r="A56" s="11"/>
      <c r="B56" s="5"/>
      <c r="C56" s="5"/>
      <c r="E56" s="5"/>
      <c r="G56" s="5"/>
      <c r="J56" s="5"/>
      <c r="L56" s="5"/>
      <c r="M56" s="5"/>
      <c r="O56" s="5"/>
      <c r="P56" s="5"/>
      <c r="Q56" s="5"/>
      <c r="R56" s="5"/>
      <c r="S56" s="5"/>
    </row>
    <row r="57" spans="1:19" ht="18.75" x14ac:dyDescent="0.3">
      <c r="A57" s="11"/>
      <c r="B57" s="5"/>
      <c r="C57" s="5"/>
      <c r="E57" s="5"/>
      <c r="G57" s="5"/>
      <c r="J57" s="5"/>
      <c r="L57" s="5"/>
      <c r="M57" s="5"/>
      <c r="O57" s="5"/>
      <c r="P57" s="5"/>
      <c r="Q57" s="5"/>
      <c r="R57" s="5"/>
      <c r="S57" s="5"/>
    </row>
    <row r="58" spans="1:19" ht="18.75" x14ac:dyDescent="0.3">
      <c r="A58" s="11"/>
      <c r="B58" s="5"/>
      <c r="C58" s="5"/>
      <c r="E58" s="5"/>
      <c r="G58" s="5"/>
      <c r="J58" s="5"/>
      <c r="L58" s="5"/>
      <c r="M58" s="5"/>
      <c r="O58" s="5"/>
      <c r="P58" s="5"/>
      <c r="Q58" s="5"/>
      <c r="R58" s="5"/>
      <c r="S58" s="5"/>
    </row>
    <row r="59" spans="1:19" ht="18.75" x14ac:dyDescent="0.3">
      <c r="A59" s="11"/>
      <c r="B59" s="5"/>
      <c r="C59" s="5"/>
      <c r="E59" s="5"/>
      <c r="G59" s="5"/>
      <c r="J59" s="5"/>
      <c r="L59" s="5"/>
      <c r="M59" s="5"/>
      <c r="O59" s="5"/>
      <c r="P59" s="5"/>
      <c r="Q59" s="5"/>
      <c r="R59" s="5"/>
      <c r="S59" s="5"/>
    </row>
    <row r="60" spans="1:19" ht="18.75" x14ac:dyDescent="0.3">
      <c r="A60" s="11"/>
      <c r="B60" s="5"/>
      <c r="C60" s="5"/>
      <c r="E60" s="5"/>
      <c r="G60" s="5"/>
      <c r="J60" s="5"/>
      <c r="L60" s="5"/>
      <c r="M60" s="5"/>
      <c r="O60" s="5"/>
      <c r="P60" s="5"/>
      <c r="Q60" s="5"/>
      <c r="R60" s="5"/>
      <c r="S60" s="5"/>
    </row>
    <row r="61" spans="1:19" ht="15.75" x14ac:dyDescent="0.25">
      <c r="A61" s="5"/>
      <c r="B61" s="5"/>
      <c r="C61" s="5"/>
      <c r="D61" s="5"/>
      <c r="E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spans="1:19" ht="18.75" x14ac:dyDescent="0.3">
      <c r="A62" s="10"/>
      <c r="B62" s="4"/>
      <c r="C62" s="4"/>
      <c r="D62" s="4"/>
      <c r="E62" s="4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spans="1:19" ht="15.75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1:19" ht="18.75" x14ac:dyDescent="0.3">
      <c r="A64" s="11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pans="1:19" ht="18.75" x14ac:dyDescent="0.3">
      <c r="A65" s="11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1:19" ht="18.75" x14ac:dyDescent="0.3">
      <c r="A66" s="11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spans="1:19" ht="18.75" x14ac:dyDescent="0.3">
      <c r="A67" s="11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1:19" ht="18.75" x14ac:dyDescent="0.3">
      <c r="A68" s="11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1:19" ht="18.75" x14ac:dyDescent="0.3">
      <c r="A69" s="11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spans="1:19" ht="18.75" x14ac:dyDescent="0.3">
      <c r="A70" s="11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1:19" ht="18.75" x14ac:dyDescent="0.3">
      <c r="A71" s="11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pans="1:19" ht="18.75" x14ac:dyDescent="0.3">
      <c r="A72" s="11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19" ht="18.75" x14ac:dyDescent="0.3">
      <c r="A73" s="11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1:19" ht="18.75" x14ac:dyDescent="0.3">
      <c r="A74" s="11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19" ht="18.75" x14ac:dyDescent="0.3">
      <c r="A75" s="11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pans="1:19" ht="18.75" x14ac:dyDescent="0.3">
      <c r="A76" s="11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1:19" ht="18.75" x14ac:dyDescent="0.3">
      <c r="A77" s="11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pans="1:19" ht="18.75" x14ac:dyDescent="0.3">
      <c r="A78" s="11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pans="1:19" ht="18.75" x14ac:dyDescent="0.3">
      <c r="A79" s="11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1:19" ht="18.75" x14ac:dyDescent="0.3">
      <c r="A80" s="11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pans="1:19" ht="18.75" x14ac:dyDescent="0.3">
      <c r="A81" s="11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</sheetData>
  <sheetProtection password="C7EC" sheet="1" objects="1" scenarios="1"/>
  <mergeCells count="35">
    <mergeCell ref="E34:F34"/>
    <mergeCell ref="M34:N34"/>
    <mergeCell ref="M35:N35"/>
    <mergeCell ref="P35:AE35"/>
    <mergeCell ref="E31:F31"/>
    <mergeCell ref="M31:N31"/>
    <mergeCell ref="E32:F32"/>
    <mergeCell ref="M32:N32"/>
    <mergeCell ref="E33:F33"/>
    <mergeCell ref="M33:N33"/>
    <mergeCell ref="E30:F30"/>
    <mergeCell ref="M30:N30"/>
    <mergeCell ref="E22:F22"/>
    <mergeCell ref="AB22:AE22"/>
    <mergeCell ref="E23:F23"/>
    <mergeCell ref="AB23:AE23"/>
    <mergeCell ref="E24:F24"/>
    <mergeCell ref="AB24:AE24"/>
    <mergeCell ref="E25:F25"/>
    <mergeCell ref="AB25:AE25"/>
    <mergeCell ref="M28:N28"/>
    <mergeCell ref="E29:F29"/>
    <mergeCell ref="M29:N29"/>
    <mergeCell ref="A18:F18"/>
    <mergeCell ref="L18:S18"/>
    <mergeCell ref="E20:F20"/>
    <mergeCell ref="AB20:AE20"/>
    <mergeCell ref="E21:F21"/>
    <mergeCell ref="AB21:AE21"/>
    <mergeCell ref="K13:L13"/>
    <mergeCell ref="A1:AI2"/>
    <mergeCell ref="B4:G4"/>
    <mergeCell ref="C11:D11"/>
    <mergeCell ref="K11:L11"/>
    <mergeCell ref="K12:L12"/>
  </mergeCells>
  <conditionalFormatting sqref="I20:I25 I29:I34">
    <cfRule type="containsText" dxfId="23" priority="4" operator="containsText" text="falsch">
      <formula>NOT(ISERROR(SEARCH("falsch",I20)))</formula>
    </cfRule>
    <cfRule type="containsText" dxfId="22" priority="5" operator="containsText" text="richtig">
      <formula>NOT(ISERROR(SEARCH("richtig",I20)))</formula>
    </cfRule>
    <cfRule type="containsText" dxfId="21" priority="6" operator="containsText" text="x">
      <formula>NOT(ISERROR(SEARCH("x",I20)))</formula>
    </cfRule>
  </conditionalFormatting>
  <conditionalFormatting sqref="AJ20:AJ25">
    <cfRule type="containsText" dxfId="20" priority="1" operator="containsText" text="falsch">
      <formula>NOT(ISERROR(SEARCH("falsch",AJ20)))</formula>
    </cfRule>
    <cfRule type="containsText" dxfId="19" priority="2" operator="containsText" text="richtig">
      <formula>NOT(ISERROR(SEARCH("richtig",AJ20)))</formula>
    </cfRule>
    <cfRule type="containsText" dxfId="18" priority="3" operator="containsText" text="x">
      <formula>NOT(ISERROR(SEARCH("x",AJ20)))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Längenmaße</vt:lpstr>
      <vt:lpstr>Längenmaße_Lösung</vt:lpstr>
      <vt:lpstr>Flächenmaße</vt:lpstr>
      <vt:lpstr>Flächenmaße_Lösung</vt:lpstr>
      <vt:lpstr>Raummaße</vt:lpstr>
      <vt:lpstr>Raummaße_Lösung</vt:lpstr>
      <vt:lpstr>Zeit</vt:lpstr>
      <vt:lpstr>Zeit_Lösung</vt:lpstr>
      <vt:lpstr>Gewicht</vt:lpstr>
      <vt:lpstr>Gewicht_Lösung</vt:lpstr>
      <vt:lpstr>Euro</vt:lpstr>
      <vt:lpstr>Euro_Lösung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Katja</dc:creator>
  <cp:lastModifiedBy>Alle Lehrer</cp:lastModifiedBy>
  <dcterms:created xsi:type="dcterms:W3CDTF">2015-01-17T13:00:53Z</dcterms:created>
  <dcterms:modified xsi:type="dcterms:W3CDTF">2015-05-05T09:30:35Z</dcterms:modified>
</cp:coreProperties>
</file>